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32760" yWindow="32760" windowWidth="20730" windowHeight="11160" tabRatio="885" firstSheet="1" activeTab="13"/>
  </bookViews>
  <sheets>
    <sheet name="Kangatang" sheetId="10" state="veryHidden" r:id=""/>
    <sheet name="Chi cục thuế" sheetId="30" r:id="rId1"/>
    <sheet name="Văn phòng Đảng ủy" sheetId="13" r:id="rId2"/>
    <sheet name="Văn phòng HĐND-UBND" sheetId="15" r:id="rId3"/>
    <sheet name="P.Kinh tế" sheetId="25" r:id="rId4"/>
    <sheet name="P. VH-XH" sheetId="26" r:id="rId5"/>
    <sheet name="TT DVHCC" sheetId="27" r:id="rId6"/>
    <sheet name="UBMTTQ" sheetId="23" r:id="rId7"/>
    <sheet name="TT DVTH" sheetId="16" r:id="rId8"/>
    <sheet name="TTCT" sheetId="32" r:id="rId9"/>
    <sheet name="MN MTH" sheetId="17" r:id="rId10"/>
    <sheet name="MN S1NS" sheetId="18" r:id="rId11"/>
    <sheet name="MN S2NS " sheetId="33" r:id="rId12"/>
    <sheet name="MN SL" sheetId="34" r:id="rId13"/>
    <sheet name="MN SM" sheetId="35" r:id="rId14"/>
    <sheet name="TH MTH" sheetId="19" r:id="rId15"/>
    <sheet name="TH S1NS" sheetId="20" r:id="rId16"/>
    <sheet name="TH S2NS" sheetId="36" r:id="rId17"/>
    <sheet name="TH SL" sheetId="37" r:id="rId18"/>
    <sheet name="TH NS" sheetId="38" r:id="rId19"/>
    <sheet name="THCS MTH" sheetId="21" r:id="rId20"/>
    <sheet name="THCS NS" sheetId="39" r:id="rId21"/>
    <sheet name="THCS SL" sheetId="40" r:id="rId22"/>
    <sheet name="THCS S1NS" sheetId="41" r:id="rId23"/>
    <sheet name="Biểu trình" sheetId="12" state="hidden" r:id="rId24"/>
    <sheet name="biểu chi tiết" sheetId="11" state="hidden"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_xlnm.Print_Area" localSheetId="10">'MN MTH'!$A$1:$G$18</definedName>
    <definedName name="_xlnm.Print_Area" localSheetId="11">'MN S1NS'!$A$1:$G$19</definedName>
    <definedName name="_xlnm.Print_Area" localSheetId="12">'MN S2NS '!$A$1:$G$19</definedName>
    <definedName name="_xlnm.Print_Area" localSheetId="13">'MN SL'!$A$1:$G$19</definedName>
    <definedName name="_xlnm.Print_Area" localSheetId="14">'MN SM'!$A$1:$G$18</definedName>
    <definedName name="_xlnm.Print_Area" localSheetId="5">'P. VH-XH'!$A$1:$G$27</definedName>
    <definedName name="_xlnm.Print_Area" localSheetId="4">'P.Kinh tế'!$A$1:$G$65</definedName>
    <definedName name="_xlnm.Print_Area" localSheetId="6">'TT DVHCC'!$A$1:$G$10</definedName>
    <definedName name="_xlnm.Print_Area" localSheetId="8">'TT DVTH'!$A$1:$G$28</definedName>
    <definedName name="_xlnm.Print_Area" localSheetId="9">TTCT!$A$1:$G$7</definedName>
    <definedName name="_xlnm.Print_Area" localSheetId="15">'TH MTH'!$A$1:$G$14</definedName>
    <definedName name="_xlnm.Print_Area" localSheetId="19">'TH NS'!$A$1:$G$13</definedName>
    <definedName name="_xlnm.Print_Area" localSheetId="16">'TH S1NS'!$A$1:$G$13</definedName>
    <definedName name="_xlnm.Print_Area" localSheetId="17">'TH S2NS'!$A$1:$G$13</definedName>
    <definedName name="_xlnm.Print_Area" localSheetId="18">'TH SL'!$A$1:$G$13</definedName>
    <definedName name="_xlnm.Print_Area" localSheetId="20">'THCS MTH'!$A$1:$G$14</definedName>
    <definedName name="_xlnm.Print_Area" localSheetId="21">'THCS NS'!$A$1:$G$14</definedName>
    <definedName name="_xlnm.Print_Area" localSheetId="23">'THCS S1NS'!$A$1:$G$15</definedName>
    <definedName name="_xlnm.Print_Area" localSheetId="22">'THCS SL'!$A$1:$G$14</definedName>
    <definedName name="_xlnm.Print_Area" localSheetId="7">UBMTTQ!$A$1:$G$19</definedName>
    <definedName name="_xlnm.Print_Area" localSheetId="2">'Văn phòng Đảng ủy'!$A$1:$G$11</definedName>
    <definedName name="_xlnm.Print_Area" localSheetId="3">'Văn phòng HĐND-UBND'!$A$1:$G$22</definedName>
  </definedNames>
  <calcPr calcId="144525"/>
</workbook>
</file>

<file path=xl/calcChain.xml><?xml version="1.0" encoding="utf-8"?>
<calcChain xmlns="http://schemas.openxmlformats.org/spreadsheetml/2006/main">
  <c r="A1" i="26" l="1"/>
  <c r="A1" i="25"/>
  <c r="A1" i="15"/>
  <c r="A1" i="13"/>
  <c r="J5" i="41"/>
  <c r="G15" i="25"/>
  <c r="G8" i="40"/>
  <c r="G8" i="39"/>
  <c r="G8" i="21"/>
  <c r="G8" i="35"/>
  <c r="G6" i="35"/>
  <c r="G5" i="35"/>
  <c r="G8" i="34"/>
  <c r="G6" i="34"/>
  <c r="G5" i="34"/>
  <c r="G8" i="33"/>
  <c r="G6" i="33"/>
  <c r="G5" i="33"/>
  <c r="G8" i="17"/>
  <c r="G8" i="18"/>
  <c r="G9" i="41"/>
  <c r="G8" i="41"/>
  <c r="G9" i="40"/>
  <c r="G6" i="40"/>
  <c r="G5" i="40"/>
  <c r="G9" i="39"/>
  <c r="G6" i="39"/>
  <c r="G5" i="39"/>
  <c r="G9" i="38"/>
  <c r="G8" i="38"/>
  <c r="G6" i="38"/>
  <c r="G5" i="38"/>
  <c r="G9" i="37"/>
  <c r="G8" i="37"/>
  <c r="G6" i="37"/>
  <c r="G5" i="37"/>
  <c r="G9" i="36"/>
  <c r="G8" i="36"/>
  <c r="G6" i="36"/>
  <c r="G5" i="36"/>
  <c r="G13" i="35"/>
  <c r="G9" i="35"/>
  <c r="G13" i="34"/>
  <c r="G9" i="34"/>
  <c r="G13" i="33"/>
  <c r="G9" i="33"/>
  <c r="G8" i="32"/>
  <c r="G6" i="32"/>
  <c r="G5" i="32"/>
  <c r="G6" i="16"/>
  <c r="G7" i="16"/>
  <c r="G31" i="25"/>
  <c r="G27" i="25"/>
  <c r="G25" i="25"/>
  <c r="G11" i="16"/>
  <c r="G17" i="23"/>
  <c r="G9" i="23"/>
  <c r="G11" i="25"/>
  <c r="G9" i="25"/>
  <c r="G8" i="25"/>
  <c r="G5" i="26"/>
  <c r="G24" i="26"/>
  <c r="G20" i="26"/>
  <c r="G16" i="26"/>
  <c r="G9" i="26"/>
  <c r="G40" i="25"/>
  <c r="G39" i="25"/>
  <c r="G38" i="25"/>
  <c r="G34" i="25"/>
  <c r="G21" i="15"/>
  <c r="G5" i="15"/>
  <c r="G7" i="15"/>
  <c r="G8" i="13"/>
  <c r="G5" i="30"/>
  <c r="C6" i="11"/>
  <c r="D11" i="11"/>
  <c r="D12" i="11"/>
  <c r="D10" i="11"/>
  <c r="D15" i="11"/>
  <c r="D14" i="11"/>
  <c r="D16" i="11"/>
  <c r="D17" i="11"/>
  <c r="D20" i="11"/>
  <c r="D18" i="11"/>
  <c r="D21" i="11"/>
  <c r="D22" i="11"/>
  <c r="D23" i="11"/>
  <c r="D24" i="11"/>
  <c r="D25" i="11"/>
  <c r="D30" i="11"/>
  <c r="D29" i="11"/>
  <c r="D28" i="11"/>
  <c r="F32" i="11"/>
  <c r="G36" i="11"/>
  <c r="G37" i="11"/>
  <c r="G38" i="11"/>
  <c r="D37" i="11"/>
  <c r="D34" i="11"/>
  <c r="D40" i="11"/>
  <c r="D39" i="11"/>
  <c r="D41" i="11"/>
  <c r="D43" i="11"/>
  <c r="D47" i="11"/>
  <c r="D48" i="11"/>
  <c r="D46" i="11"/>
  <c r="D45" i="11"/>
  <c r="D51" i="11"/>
  <c r="D52" i="11"/>
  <c r="D55" i="11"/>
  <c r="D56" i="11"/>
  <c r="D59" i="11"/>
  <c r="D60" i="11"/>
  <c r="D58" i="11"/>
  <c r="D57" i="11"/>
  <c r="D63" i="11"/>
  <c r="D65" i="11"/>
  <c r="D62" i="11"/>
  <c r="D61" i="11"/>
  <c r="D64" i="11"/>
  <c r="D68" i="11"/>
  <c r="D70" i="11"/>
  <c r="D69" i="11"/>
  <c r="D67" i="11"/>
  <c r="D66" i="11"/>
  <c r="D73" i="11"/>
  <c r="D74" i="11"/>
  <c r="D72" i="11"/>
  <c r="D71" i="11"/>
  <c r="D78" i="11"/>
  <c r="D79" i="11"/>
  <c r="D80" i="11"/>
  <c r="D77" i="11"/>
  <c r="D76" i="11"/>
  <c r="D83" i="11"/>
  <c r="D85" i="11"/>
  <c r="D84" i="11"/>
  <c r="D89" i="11"/>
  <c r="D92" i="11"/>
  <c r="D93" i="11"/>
  <c r="D98" i="11"/>
  <c r="D99" i="11"/>
  <c r="D97" i="11"/>
  <c r="D96" i="11"/>
  <c r="D101" i="11"/>
  <c r="D102" i="11"/>
  <c r="D103" i="11"/>
  <c r="D106" i="11"/>
  <c r="D104" i="11"/>
  <c r="D107" i="11"/>
  <c r="D108" i="11"/>
  <c r="D109" i="11"/>
  <c r="D110" i="11"/>
  <c r="D111" i="11"/>
  <c r="D112" i="11"/>
  <c r="C6" i="12"/>
  <c r="D11" i="12"/>
  <c r="D12" i="12"/>
  <c r="D17" i="12"/>
  <c r="D16" i="12"/>
  <c r="D18" i="12"/>
  <c r="D24" i="12"/>
  <c r="D21" i="12"/>
  <c r="D27" i="12"/>
  <c r="D26" i="12"/>
  <c r="D28" i="12"/>
  <c r="D30" i="12"/>
  <c r="D34" i="12"/>
  <c r="D35" i="12"/>
  <c r="D38" i="12"/>
  <c r="D39" i="12"/>
  <c r="D37" i="12"/>
  <c r="D36" i="12"/>
  <c r="D43" i="12"/>
  <c r="D45" i="12"/>
  <c r="D42" i="12"/>
  <c r="D41" i="12"/>
  <c r="D44" i="12"/>
  <c r="D48" i="12"/>
  <c r="D49" i="12"/>
  <c r="D47" i="12"/>
  <c r="D46" i="12"/>
  <c r="D53" i="12"/>
  <c r="D55" i="12"/>
  <c r="D52" i="12"/>
  <c r="D51" i="12"/>
  <c r="D54" i="12"/>
  <c r="D58" i="12"/>
  <c r="D59" i="12"/>
  <c r="D57" i="12"/>
  <c r="D56" i="12"/>
  <c r="D63" i="12"/>
  <c r="D64" i="12"/>
  <c r="D69" i="12"/>
  <c r="G9" i="21"/>
  <c r="G6" i="21"/>
  <c r="G5" i="21"/>
  <c r="G9" i="20"/>
  <c r="G8" i="20"/>
  <c r="G6" i="20"/>
  <c r="G5" i="20"/>
  <c r="G9" i="19"/>
  <c r="G8" i="19"/>
  <c r="G6" i="19"/>
  <c r="G5" i="19"/>
  <c r="G9" i="18"/>
  <c r="G13" i="18"/>
  <c r="G9" i="17"/>
  <c r="I9" i="17"/>
  <c r="G13" i="17"/>
  <c r="G9" i="16"/>
  <c r="G14" i="16"/>
  <c r="G18" i="16"/>
  <c r="G21" i="16"/>
  <c r="G20" i="16"/>
  <c r="G25" i="16"/>
  <c r="G27" i="16"/>
  <c r="G7" i="23"/>
  <c r="G14" i="23"/>
  <c r="G18" i="23"/>
  <c r="G16" i="23"/>
  <c r="A1" i="27"/>
  <c r="A1" i="23"/>
  <c r="A1" i="16"/>
  <c r="A1" i="32"/>
  <c r="A1" i="17"/>
  <c r="G8" i="27"/>
  <c r="G6" i="27"/>
  <c r="G5" i="27"/>
  <c r="B10" i="27"/>
  <c r="B13" i="23"/>
  <c r="G7" i="26"/>
  <c r="G26" i="26"/>
  <c r="G25" i="26"/>
  <c r="G36" i="25"/>
  <c r="G35" i="25"/>
  <c r="G47" i="25"/>
  <c r="G55" i="25"/>
  <c r="G58" i="25"/>
  <c r="G57" i="25"/>
  <c r="G60" i="25"/>
  <c r="A2" i="15"/>
  <c r="A2" i="25"/>
  <c r="A2" i="26"/>
  <c r="A2" i="27"/>
  <c r="A2" i="16"/>
  <c r="G8" i="15"/>
  <c r="G6" i="15"/>
  <c r="G14" i="15"/>
  <c r="G12" i="15"/>
  <c r="G19" i="15"/>
  <c r="G6" i="13"/>
  <c r="G5" i="13"/>
  <c r="G6" i="30"/>
  <c r="G10" i="30"/>
  <c r="G14" i="30"/>
  <c r="D90" i="11"/>
  <c r="D88" i="11"/>
  <c r="D87" i="11"/>
  <c r="D86" i="11"/>
  <c r="G14" i="26"/>
  <c r="G6" i="26"/>
  <c r="D75" i="11"/>
  <c r="D60" i="12"/>
  <c r="D40" i="12"/>
  <c r="D100" i="11"/>
  <c r="D31" i="11"/>
  <c r="G29" i="11"/>
  <c r="G30" i="11"/>
  <c r="D32" i="11"/>
  <c r="D62" i="12"/>
  <c r="D61" i="12"/>
  <c r="D65" i="12"/>
  <c r="D50" i="12"/>
  <c r="D70" i="12"/>
  <c r="D68" i="12"/>
  <c r="D94" i="11"/>
  <c r="D91" i="11"/>
  <c r="D50" i="11"/>
  <c r="D49" i="11"/>
  <c r="D10" i="12"/>
  <c r="G6" i="18"/>
  <c r="G5" i="18"/>
  <c r="G6" i="17"/>
  <c r="G5" i="17"/>
  <c r="G24" i="16"/>
  <c r="G23" i="16"/>
  <c r="G17" i="16"/>
  <c r="G6" i="23"/>
  <c r="G5" i="23"/>
  <c r="G23" i="26"/>
  <c r="G52" i="25"/>
  <c r="G51" i="25"/>
  <c r="G50" i="25"/>
  <c r="G16" i="16"/>
  <c r="G5" i="16"/>
  <c r="G6" i="41"/>
  <c r="G5" i="41"/>
  <c r="G49" i="25"/>
  <c r="G33" i="25"/>
  <c r="G7" i="25"/>
  <c r="A2" i="32"/>
  <c r="A2" i="23"/>
  <c r="A2" i="17"/>
  <c r="A2" i="34"/>
  <c r="A2" i="33"/>
  <c r="A2" i="18"/>
  <c r="A2" i="19"/>
  <c r="A2" i="35"/>
  <c r="A2" i="38"/>
  <c r="A2" i="36"/>
  <c r="A2" i="20"/>
  <c r="A2" i="37"/>
  <c r="A2" i="21"/>
  <c r="A2" i="41"/>
  <c r="A2" i="40"/>
  <c r="A2" i="39"/>
  <c r="A1" i="34"/>
  <c r="A1" i="33"/>
  <c r="A1" i="18"/>
  <c r="A1" i="35"/>
  <c r="D33" i="12"/>
  <c r="D32" i="12"/>
  <c r="D15" i="12"/>
  <c r="D14" i="12"/>
  <c r="D9" i="11"/>
  <c r="D8" i="11"/>
  <c r="D67" i="12"/>
  <c r="D66" i="12"/>
  <c r="D95" i="11"/>
  <c r="D82" i="11"/>
  <c r="D81" i="11"/>
  <c r="F11" i="11"/>
  <c r="D54" i="11"/>
  <c r="D53" i="11"/>
  <c r="D27" i="11"/>
  <c r="D9" i="12"/>
  <c r="D8" i="12"/>
  <c r="D113" i="11"/>
  <c r="D114" i="11"/>
  <c r="D71" i="12"/>
  <c r="D72" i="12"/>
  <c r="D73" i="12"/>
</calcChain>
</file>

<file path=xl/sharedStrings.xml><?xml version="1.0" encoding="utf-8"?>
<sst xmlns="http://schemas.openxmlformats.org/spreadsheetml/2006/main" count="1206" uniqueCount="299">
  <si>
    <t>Ghi chú</t>
  </si>
  <si>
    <t>BIỂU TỔNG HỢP GIAO KINH PHÍ TẠM CẤP THÁNG 7/2025</t>
  </si>
  <si>
    <t>TT</t>
  </si>
  <si>
    <t>Nội dung</t>
  </si>
  <si>
    <t>II</t>
  </si>
  <si>
    <t>Lương, bảo hiểm và các khoản phụ cấp</t>
  </si>
  <si>
    <t>Văn phòng HĐND-UBND</t>
  </si>
  <si>
    <t>I</t>
  </si>
  <si>
    <t>Tổng cộng</t>
  </si>
  <si>
    <t>Quốc phòng</t>
  </si>
  <si>
    <t>Người hoạt động không chuyên trách theo Nghị quyết 23/2023/NQ-HĐND</t>
  </si>
  <si>
    <t>Định mức hoạt động chi thường xuyên theo Nghị quyết 06/2021/NQ-HĐND</t>
  </si>
  <si>
    <t>Phụ cấp thâm niên, Phụ cấp đặc thù quốc phòng, phụ cấp trách nhiệm quản lý đơn vị, chế độ phụ cấp hàng tháng của Thôn đội trưởng</t>
  </si>
  <si>
    <t>Chế độ Tổ bảo vệ an ninh cơ sở</t>
  </si>
  <si>
    <t>Chế độ hưu xã</t>
  </si>
  <si>
    <t>Chi phí vận chuyển, bàn giao tài sản</t>
  </si>
  <si>
    <t>III</t>
  </si>
  <si>
    <t>An ninh, trật tự an toàn xã hội</t>
  </si>
  <si>
    <t>Đảm bảo xã hội</t>
  </si>
  <si>
    <t>IV</t>
  </si>
  <si>
    <t>Hợp đồng 111 (lái xe 01 người, 02 bảo vệ, 02 phục vụ)</t>
  </si>
  <si>
    <t xml:space="preserve">Bổ sung ngoài định mức </t>
  </si>
  <si>
    <t xml:space="preserve"> Vận hành xe ô tô</t>
  </si>
  <si>
    <t>Công tác chuẩn bị Đại hội Đảng (tạm cấp)</t>
  </si>
  <si>
    <t>V</t>
  </si>
  <si>
    <t>A</t>
  </si>
  <si>
    <t>B</t>
  </si>
  <si>
    <t>Trường Mầm Non Huổi Lèng</t>
  </si>
  <si>
    <t>Sự nghiệp Giáo dục và đào tạo</t>
  </si>
  <si>
    <t>Hợp đồng 111 Bảo vệ</t>
  </si>
  <si>
    <t>Chi thường xuyên khác (tạm tính 2% quỹ lương)</t>
  </si>
  <si>
    <t>C</t>
  </si>
  <si>
    <t>Trường Mầm Non Mường Tùng</t>
  </si>
  <si>
    <t>Trường PTDTBT Tiểu học Huổi Lèng</t>
  </si>
  <si>
    <t>Trường PTDTBT Tiểu Học Nậm He</t>
  </si>
  <si>
    <t>Trường PTDTBT THCS Huổi Lèng</t>
  </si>
  <si>
    <t>Trường PTDTBT Tiểu học  và THCS Mường Tùng</t>
  </si>
  <si>
    <t>Đảng ủy xã</t>
  </si>
  <si>
    <t>Đặc thù HĐND</t>
  </si>
  <si>
    <t>Mặt trận tổ quốc và các hội</t>
  </si>
  <si>
    <t>Quản lý hành chính, đảng, đoàn thể</t>
  </si>
  <si>
    <t>Trung tâm dịch vụ tổng hợp</t>
  </si>
  <si>
    <t>Số tiền giao</t>
  </si>
  <si>
    <t>Trong đó:  KP hỗ trợ chia tách, sát nhập</t>
  </si>
  <si>
    <t>Chi hoạt động UBND xã</t>
  </si>
  <si>
    <t>DỰ TOÁN UBND TỈNH GIAO</t>
  </si>
  <si>
    <t>DỰ KIẾN PHÂN BỔ DỰ TOÁN</t>
  </si>
  <si>
    <t>Số tiền phân bổ</t>
  </si>
  <si>
    <t>Văn phòng Đảng ủy</t>
  </si>
  <si>
    <t>I.1</t>
  </si>
  <si>
    <t>UBND xã</t>
  </si>
  <si>
    <t>Tổ chức chính trị - xã hội</t>
  </si>
  <si>
    <t>I.2</t>
  </si>
  <si>
    <t>I.3</t>
  </si>
  <si>
    <t>I.4</t>
  </si>
  <si>
    <t>Sự nghiệp kinh tế</t>
  </si>
  <si>
    <t>VI</t>
  </si>
  <si>
    <t>VII</t>
  </si>
  <si>
    <t>VIII</t>
  </si>
  <si>
    <t>Kinh phí còn lại</t>
  </si>
  <si>
    <r>
      <t>Sửa chữa cơ sở vật chất</t>
    </r>
    <r>
      <rPr>
        <i/>
        <sz val="11"/>
        <color indexed="8"/>
        <rFont val="Times New Roman"/>
        <family val="1"/>
      </rPr>
      <t xml:space="preserve"> (kinh phí hỗ trợ chia tách, sát nhập)</t>
    </r>
  </si>
  <si>
    <t>HĐND -UBND xã</t>
  </si>
  <si>
    <t>Ủy ban mặt trận tổ quốc</t>
  </si>
  <si>
    <r>
      <t>Trong đó: Công tác chuẩn bị Đại hội Đảng (tạm cấp):</t>
    </r>
    <r>
      <rPr>
        <b/>
        <sz val="11"/>
        <color indexed="8"/>
        <rFont val="Times New Roman"/>
        <family val="1"/>
      </rPr>
      <t xml:space="preserve"> 500 tr.đồng</t>
    </r>
  </si>
  <si>
    <r>
      <t>Trong đó: Sửa chữa cơ sở vật chất (kinh phí hỗ trợ chia tách, sát nhập):</t>
    </r>
    <r>
      <rPr>
        <b/>
        <sz val="11"/>
        <color indexed="8"/>
        <rFont val="Times New Roman"/>
        <family val="1"/>
      </rPr>
      <t xml:space="preserve"> 1.000 tr.đồng</t>
    </r>
  </si>
  <si>
    <t>TỔNG CỘNG</t>
  </si>
  <si>
    <t xml:space="preserve">Người hoạt động không chuyên trách theo Nghị quyết 23/2023/NQ-HĐND </t>
  </si>
  <si>
    <t xml:space="preserve"> Tr.đó</t>
  </si>
  <si>
    <t>-</t>
  </si>
  <si>
    <t>01 trung cấp</t>
  </si>
  <si>
    <t>4 người giúp việc (2 người xã loại 1, 02 người xã loại 2)</t>
  </si>
  <si>
    <t>02 Đại học</t>
  </si>
  <si>
    <t>01 cao đảng</t>
  </si>
  <si>
    <t>tăng thêm</t>
  </si>
  <si>
    <t>Bí thư chi bộ bản (18 người)</t>
  </si>
  <si>
    <t>+ xã Loại 1</t>
  </si>
  <si>
    <t>+ xã loại 2</t>
  </si>
  <si>
    <t>Tăng thêm</t>
  </si>
  <si>
    <t>Trung cấp</t>
  </si>
  <si>
    <t>(Phó Chủ tịch Uỷ ban Mặt trận Tổ quốc; Phó Bí thư Đoàn Thanh niên; Phó Chủ tịch Hội liên hiệp Phụ nữ; Phó Chủ tịch Hội Nông dân; Phó Chủ tịch Hội Cựu chiến binh; Chủ tịch Hội Người cao tuổi; Chủ tịch hội chữ thập đỏ)</t>
  </si>
  <si>
    <t>1 cao đảng</t>
  </si>
  <si>
    <t>Trưởng ban công tác mặt trận (18 người)</t>
  </si>
  <si>
    <t>Trung cấp (1 người)</t>
  </si>
  <si>
    <t>Bí thư chi đoàn thanh niên, Chi hội trưởng Hội phụ nữ, Chi hội trưởng hội Nông dân, Chi hội trưởng hội cựu chiến binh (72 người)</t>
  </si>
  <si>
    <t>4 Đại học</t>
  </si>
  <si>
    <t>5 trung cấp</t>
  </si>
  <si>
    <t>Đơn vị: Văn phòng Đảng ủy</t>
  </si>
  <si>
    <t>Chương</t>
  </si>
  <si>
    <t>Loại</t>
  </si>
  <si>
    <t>Khoản</t>
  </si>
  <si>
    <t>TC nguồn KP</t>
  </si>
  <si>
    <t>Số tiền</t>
  </si>
  <si>
    <t>Chi thường xuyên</t>
  </si>
  <si>
    <t>ĐVT: triệu đồng</t>
  </si>
  <si>
    <t>DỰ TOÁN CHI NGÂN SÁCH</t>
  </si>
  <si>
    <t>Kinh phí thực hiện chế độ tự chủ</t>
  </si>
  <si>
    <t>Kinh phí thực hiện chế độ không tự chủ</t>
  </si>
  <si>
    <t>Đơn vị: Văn phòng HĐND-UBND</t>
  </si>
  <si>
    <t>Đơn vị: Trung tâm dịch vụ tổng hợp</t>
  </si>
  <si>
    <t>Quản lý hành chính</t>
  </si>
  <si>
    <t>Hoạt động Đảng</t>
  </si>
  <si>
    <t>Sự nghiệp Giáo dục - Đào tạo</t>
  </si>
  <si>
    <t>070</t>
  </si>
  <si>
    <t>071</t>
  </si>
  <si>
    <t>072</t>
  </si>
  <si>
    <t>073</t>
  </si>
  <si>
    <t>Hoạt động Đoàn thể</t>
  </si>
  <si>
    <t>Phòng Kinh tế</t>
  </si>
  <si>
    <t>Hợp đồng 111 (02 bảo vệ, 02 phục vụ)</t>
  </si>
  <si>
    <t xml:space="preserve">Hợp đồng lái xe </t>
  </si>
  <si>
    <t>Phòng Văn hóa - Xã hội</t>
  </si>
  <si>
    <t>Trung tâm dịch vụ hành chính công</t>
  </si>
  <si>
    <t>IX</t>
  </si>
  <si>
    <t>X</t>
  </si>
  <si>
    <t>XI</t>
  </si>
  <si>
    <t>An ninh, trật tự, an toàn xã hội</t>
  </si>
  <si>
    <t>Đơn vị: Phòng Kinh tế</t>
  </si>
  <si>
    <t>Đơn vị: Phòng Văn hóa - Xã hội</t>
  </si>
  <si>
    <t>Đơn vị: Trung tâm dịch vụ hành chính công</t>
  </si>
  <si>
    <t>Đơn vị: Ủy ban mặt trận tổ quốc</t>
  </si>
  <si>
    <t>Tiểu học</t>
  </si>
  <si>
    <t>THCS</t>
  </si>
  <si>
    <t>Kinh phí thực hiện chế độ tự không chủ</t>
  </si>
  <si>
    <t>BIỂU GIAO DỰ TOÁN KINH PHÍ NĂM 2025
 (THỜI GIAN THỰC HIỆN TỪ 01/7/2025 ĐẾN 31/12/2025)</t>
  </si>
  <si>
    <t>Đại hội chi bộ các cơ quan tham mưu giúp việc Đảng, HĐND</t>
  </si>
  <si>
    <t>Đại hội đảng chi bộ văn phòng HĐND-UBD; Đại hội Đảng của Đảng ủy UBND</t>
  </si>
  <si>
    <t>Kinh phí hỗ trợ chia tách, sát nhập chính quyền địa phương 02 cấp</t>
  </si>
  <si>
    <t>Đại hội đảng chi bộ cơ sở</t>
  </si>
  <si>
    <t>Đại hội thi đua yêu nước</t>
  </si>
  <si>
    <t>Đại hội đảng của chi bộ cơ sở</t>
  </si>
  <si>
    <t>Đại hội đại biểu Ủy ban mặt trận tổ quốc</t>
  </si>
  <si>
    <t>Đại hội 4 đoàn thể (Đoàn thanh niên; Hội phụ nữ; Hội nông dân; Hội CCB)</t>
  </si>
  <si>
    <t>Kinh phí hỗ trợ sử dụng sản phẩm, dịch vụ công ích thủy lợi</t>
  </si>
  <si>
    <t>CHƯƠNG TRÌNH MỤC TIÊU QUỐC GIA</t>
  </si>
  <si>
    <t>CHƯƠNG TRÌNH MỤC TIÊU QUỐC GIA PHÁT TRIỂN KINH TẾ XÃ HỘI VÙNG ĐỒNG BÀO DÂN TỘC THIỂU SỐ VÀ MIỀN NÚI</t>
  </si>
  <si>
    <t>Dự án 4: Đầu tư cơ sở hạ tầng thiết yếu, phục vụ sản xuất, đời sống trong vùng đồng bào DTTS&amp;MN và các đơn vị sự nghiệp công nghiệp của lĩnh vực</t>
  </si>
  <si>
    <t>NSĐP đối ứng (mã CTMT: 40514)</t>
  </si>
  <si>
    <t>1.1</t>
  </si>
  <si>
    <t>+</t>
  </si>
  <si>
    <t>Sự nghiệp Văn hóa</t>
  </si>
  <si>
    <t>Sự nghiệp văn hóa</t>
  </si>
  <si>
    <t>Sự nghiệp thể thao</t>
  </si>
  <si>
    <t>Đại hội thể dục thể thao xã</t>
  </si>
  <si>
    <t>Chi không thường xuyên</t>
  </si>
  <si>
    <t>Hỗ trợ theo Nghị định 105/2020/NĐ-CP</t>
  </si>
  <si>
    <t>Hỗ trợ ăn trưa</t>
  </si>
  <si>
    <t>Hỗ trợ kinh phí nấu ăn</t>
  </si>
  <si>
    <t>Lớp ghép, tăng cường tiếng việt</t>
  </si>
  <si>
    <t xml:space="preserve"> Miễn giảm học phí</t>
  </si>
  <si>
    <t>Kinh phí thực hiện chính sách  theo NĐ số 20/2021/NĐ-CP</t>
  </si>
  <si>
    <t>Kinh phí đảm bảo xã hội thường xuyên</t>
  </si>
  <si>
    <t>KP Hỗ trợ tiền điện hộ nghèo, hộ chính sách</t>
  </si>
  <si>
    <t>Kinh phí trợ cấp hàng tháng cho đối tượng nghỉ hưu theo Nghị định số 130-CP và QĐ số 111-HĐBT</t>
  </si>
  <si>
    <t xml:space="preserve">Bảo vệ môi trường </t>
  </si>
  <si>
    <t>Khám tuyển nghĩa vụ quân sự</t>
  </si>
  <si>
    <t>Xét tuyển nghĩa vụ quân sự</t>
  </si>
  <si>
    <t>Kinh phí tổ chức đại hội Đảng bộ xã</t>
  </si>
  <si>
    <t>Dự toán giao  thực hiện 01/7/2025 đến 31/12/2025</t>
  </si>
  <si>
    <t>D</t>
  </si>
  <si>
    <t xml:space="preserve">Dự toán giao  </t>
  </si>
  <si>
    <t>Quỹ tiền thưởng theo Nghị định số 73/2024/NĐ-CP</t>
  </si>
  <si>
    <t>010</t>
  </si>
  <si>
    <t>011</t>
  </si>
  <si>
    <t>041</t>
  </si>
  <si>
    <t>Lễ kỷ niệm 80 năm ngày truyền thống CAND Việt nam, 20 năm ngàylễ kỷ niệm 80 năm ngày truyền thống CAND Việt nam, 20 năm ngày hội toàn dân bảo vệ ANTQ và hội nghị quán triệt, triển khai kế hoạch xây dựng “xã không Ma túy"</t>
  </si>
  <si>
    <t>Thu gom rác thải</t>
  </si>
  <si>
    <t>Dự án 3: Phát triển sản xuất nông, lâm nghiệp bền vững, phát huy tiềm năng, thế mạnh của các vùng miền để sản xuất hàng hóa theo chuỗi giá trị</t>
  </si>
  <si>
    <t>Tiểu dự án 2: Hỗ trợ phát triển sản xuất theo chuỗi giá trị, vùng trồng dược liệu quý, thúc đẩy khởi sự kinh doanh, khởi nghiệp và thu hút đầu tư vùng đồng bào DTTS&amp;MN</t>
  </si>
  <si>
    <t>3.1</t>
  </si>
  <si>
    <t>2.1</t>
  </si>
  <si>
    <t>Tiểu dự án 1: Đầu tư CSHT thiết yếu, phục vụ sản xuất, đời sống trong vùng đồng bào DTTS&amp;MN</t>
  </si>
  <si>
    <t>Vốn NSTW (Mã dự án 10513)</t>
  </si>
  <si>
    <t>Vốn NSTW (Mã dự án 10514)</t>
  </si>
  <si>
    <t>CHI THƯỜNG XUYÊN</t>
  </si>
  <si>
    <t xml:space="preserve">Dự án 6: Bảo tồn, phát huy giá trị văn hóa truyền thống tốt đẹp của các dân tộc thiểu số gắn với phát triển du lịch </t>
  </si>
  <si>
    <t>Vốn NSTW (Mã dự án 10516)</t>
  </si>
  <si>
    <t>Vốn NSTW (Mã dự án 10518)</t>
  </si>
  <si>
    <t>Dự án 10: Truyền thông, tuyên truyền, vận động trong vùng đồng bào DTTS&amp;MN. Kiểm tra, giám sát đánh giá việc tổ chức thực hiện Chương trình</t>
  </si>
  <si>
    <t>Vốn NSTW (Mã dự án 10521)</t>
  </si>
  <si>
    <t>Dự án 1: Hỗ trợ đầu tư phát triển hạ tầng kinh tế - xã hội các huyện nghèo</t>
  </si>
  <si>
    <t>CHƯƠNG TRÌNH MỤC TIÊU QUỐC GIA GIẢM NGHÈO BỀN VỮNG</t>
  </si>
  <si>
    <t>Vốn NSTW (Mã dự án 10471)</t>
  </si>
  <si>
    <t>Dự án 2: Đa dạng hoá sinh kế, phát triển mô hình giảm nghèo (sự nghiệp kinh tế)</t>
  </si>
  <si>
    <t>Vốn NSTW (Mã dự án 10472)</t>
  </si>
  <si>
    <t>Dự án 3: Hỗ trợ phát triển sản xuất, cải thiện dinh dưỡng</t>
  </si>
  <si>
    <t>Tiểu dự án 1: Hỗ trợ phát triển sản xuất trong lĩnh vực nông nghiệp (Sự nghiệp kinh tế)</t>
  </si>
  <si>
    <t>Vốn NSTW (Mã dự án 10473)</t>
  </si>
  <si>
    <t>Dự án 5: Hỗ trợ nhà ở cho hộ nghèo, hộ cận nghèo trên địa bàn các huyện nghèo (sự nghiệp kinh tế)</t>
  </si>
  <si>
    <t>Vốn NSTW (Mã dự án 10475)</t>
  </si>
  <si>
    <t>Vốn đối ứng NSĐP (Mã dự án 40475)</t>
  </si>
  <si>
    <t>Dự án 6: Truyền thông và giảm nghèo về thông tin</t>
  </si>
  <si>
    <t>Vốn NSTW (Mã dự án 10476)</t>
  </si>
  <si>
    <t>CHƯƠNG TRÌNH XÓA NHÀ TẠM, NHÀ DỘT NÁT</t>
  </si>
  <si>
    <t>Tiểu dự án 1: Hỗ trợ đầu tư phát triển hạ tầng kinh tế - xã hội các huyện nghèo (sự nghiệp kinh tế)</t>
  </si>
  <si>
    <t>098</t>
  </si>
  <si>
    <t>2.2</t>
  </si>
  <si>
    <t>Các hoạt động của Trung tâm học tập cộng đồng</t>
  </si>
  <si>
    <t>1.2</t>
  </si>
  <si>
    <t>2.3</t>
  </si>
  <si>
    <t>2.4</t>
  </si>
  <si>
    <t>2.5</t>
  </si>
  <si>
    <t>2.6</t>
  </si>
  <si>
    <t>Hỗ trợ chi phí học tập</t>
  </si>
  <si>
    <t>Huy động dân quân phòng, chống bão lũ, tìm kiếm người chết trôi, trực 02/9, vân chuyển hỗ trợ ban chỉ huy phòng thủ khu vực 2…</t>
  </si>
  <si>
    <t xml:space="preserve">Tiểu dự án 2: Cải thiện dinh dưỡng </t>
  </si>
  <si>
    <t xml:space="preserve">Dự án 8: Thực hiện bình đẳng và giải quyết những vấn đề cấp thiết đối với phụ nữ và trẻ em </t>
  </si>
  <si>
    <t xml:space="preserve">Tiểu dự án 1: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mục tiêu quốc gia phát triển kinh tế - xã hội vùng đồng bào DTTS và miền núi giai đoạn 2021 - 2030 </t>
  </si>
  <si>
    <t xml:space="preserve">Tiểu dự án 1: Giảm nghèo về thông tin </t>
  </si>
  <si>
    <t>Tiểu dự án 2: Truyền thông về giảm nghèo đa chiều</t>
  </si>
  <si>
    <t>Chính sách giáo dục với người khuyết tật theo Thông tư 42/2013/TTLT-BGDĐT-BLĐTBXH-BTC</t>
  </si>
  <si>
    <t xml:space="preserve">Toàn dân đoàn kết xây dựng đời sống văn hóa tại khu dân cư; Cuộc vận động của Ủy ban Mặt trận Tổ quốc </t>
  </si>
  <si>
    <t>DỰ TOÁN THU NGÂN SÁCH</t>
  </si>
  <si>
    <t>Đơn vị: Thuế cơ sở 4 tỉnh Điện Biên (Phối hợp thực hiện)</t>
  </si>
  <si>
    <t xml:space="preserve">Thu từ khu vực kinh tế ngoài quốc doanh </t>
  </si>
  <si>
    <t xml:space="preserve"> - Thuế giá trị gia tăng</t>
  </si>
  <si>
    <t>Lệ phí trước bạ</t>
  </si>
  <si>
    <t>Thuế thu nhập cá nhân</t>
  </si>
  <si>
    <t>Phí và lệ phí</t>
  </si>
  <si>
    <t xml:space="preserve"> Trong đó: -  Phí, lệ phí trung ương hưởng</t>
  </si>
  <si>
    <t xml:space="preserve">                 - Phí, lệ phí địa phương</t>
  </si>
  <si>
    <t>Thu khác ngân sách</t>
  </si>
  <si>
    <t>Trong đó:  - Thu phạt VPHC, tịch thu khác (NSTW, NS tỉnh hưởng)</t>
  </si>
  <si>
    <t xml:space="preserve">                  - Thu khác còn lại (thu cân đối)</t>
  </si>
  <si>
    <t>E</t>
  </si>
  <si>
    <t>Thuế sử dụng đất phi nông nghiệp</t>
  </si>
  <si>
    <t>* Ghi chú:</t>
  </si>
  <si>
    <t xml:space="preserve">         (1)  Đã bao gồm: </t>
  </si>
  <si>
    <t xml:space="preserve">           - Kinh phí hỗ trợ hoạt động Đảng theo Quyết định số 99/QĐ-TW, các ban chỉ đạo 160, ban chỉ đạo 35.</t>
  </si>
  <si>
    <t xml:space="preserve">   - Đã khấu trừ 10% tiết kiệm năm 2025 thực hiện chính sách tiền lương cơ sở: 30 triệu đồng. </t>
  </si>
  <si>
    <t>Kinh phí thực hiện chế độ tự chủ (1)</t>
  </si>
  <si>
    <t xml:space="preserve">      - Kinh phí hỗ trợ hoạt động Đảng theo Quyết định số 99/QĐ-TW</t>
  </si>
  <si>
    <t xml:space="preserve">      - Đã bao gồm kinh phí tổ chức đại hội của Hội người cao tuổi, đại hội Chữ thập đỏ</t>
  </si>
  <si>
    <t xml:space="preserve">      - Đã khấu trừ 10% tiết kiệm năm 2025 thực hiện chính sách tiền lương cơ sở: 41 triệu đồng. </t>
  </si>
  <si>
    <t>Xây dựng văn kiện</t>
  </si>
  <si>
    <t>Xưởng chế biến chè cây cao Can Hồ, xã Sa Lông</t>
  </si>
  <si>
    <t>Cải tạo, nâng cấp đường bê tông bản Sa Lông 2 xã Sa Lông</t>
  </si>
  <si>
    <t>Cải tạo, nâng cấp mở rộng  hệ thống đèn trang trí, đèn chiếu sáng thị trấn Mường Chà</t>
  </si>
  <si>
    <t>Rà soát, tổ chức lập quy hoạch chung xã</t>
  </si>
  <si>
    <t>Sửa chữa đài tưởng niệm các anh hùng liệt sỹ huyện Mường Chà</t>
  </si>
  <si>
    <t>Sửa chữa trụ sở, nhà văn hóa xã Na Sang</t>
  </si>
  <si>
    <t>Sửa chữa  trụ sở, nhà văn hóa xã Ma Thì Hồ</t>
  </si>
  <si>
    <t>Tiền điện đường chiếu sáng; Sửa chữa hệ thống đèn cao áp chiếu sáng; sửa chữa hệ thống cống thoát nước,..</t>
  </si>
  <si>
    <t xml:space="preserve"> +</t>
  </si>
  <si>
    <t>Sửa chữa đường giao thông bản Huổi Chua, (xã Ma Thì Hồ cũ)</t>
  </si>
  <si>
    <t>Sửa chữa đường giao thông bản Huổi Mý, (xã Ma Thì Hồ cũ)</t>
  </si>
  <si>
    <t>Sửa chữa thủy lợi bản Thèn Pả,( xã Sa Lông cũ)</t>
  </si>
  <si>
    <t xml:space="preserve"> Cải tạo, nâng cấp nước sinh hoạt bản Huổi Lóng 2, (xã Na Sang cũ)</t>
  </si>
  <si>
    <t>Duy tu, bảo dưỡng đường quốc lộ 12 -  bản Huổi Lóng,  (xã Na Sang cũ)</t>
  </si>
  <si>
    <t xml:space="preserve"> Duy tu, bảo dưỡng Thủy lợi Huổi Pưng, bản Na pheo, xã Na Sang</t>
  </si>
  <si>
    <t>Sửa chữa tuyến đường giao thông Km 23 (QL.4H) bản Huổi Quang, (xã Ma Thì Hồ cũ)</t>
  </si>
  <si>
    <t>Sửa chữa tuyến đường giao thông từ Km21+250 (QL4H) đường Ma Thì Hồ - bản Nậm Chua, (xã Ma Thì Hồ cũ)</t>
  </si>
  <si>
    <t>CHƯƠNG TRÌNH MỤC TIÊU PHÁT TRIỂN LÂM NGHIỆP BỀN VỮNG.</t>
  </si>
  <si>
    <t>KINH PHÍ THỰC HIỆN NHIỆM VỤ  ĐẢM BẢO TRẬT TỰ AN TOÀN GIAO THÔNG.</t>
  </si>
  <si>
    <t xml:space="preserve">      - Đã khấu trừ 10% tiết kiệm năm 2025 thực hiện chính sách tiền lương cơ sở: 20 triệu đồng. </t>
  </si>
  <si>
    <t>Thi đua khen thưởng</t>
  </si>
  <si>
    <t xml:space="preserve">      - Đã bao gồm kinh phí tổ chức đại hội của Hội khuyến học, Hội cựu giáo chức</t>
  </si>
  <si>
    <t xml:space="preserve">      - Đã khấu trừ 10% tiết kiệm năm 2025 thực hiện chính sách tiền lương cơ sở: 10 triệu đồng. </t>
  </si>
  <si>
    <t>KP thực hiện QĐ 12/QĐ-TTg (người có uy tín)</t>
  </si>
  <si>
    <t>Đại hội TDTT ngành</t>
  </si>
  <si>
    <t>Chi phục vụ đại hội đảng, ĐH đảng chi bộ cơ sở</t>
  </si>
  <si>
    <t xml:space="preserve">      - Đã khấu trừ 10% tiết kiệm năm 2025 thực hiện chính sách tiền lương cơ sở: 7 triệu đồng. </t>
  </si>
  <si>
    <t>Đảm bảo giao thông tuyến đường từ cầu Huổi Nhả đi Huổi Lóng</t>
  </si>
  <si>
    <t>Đảm bảo giao thông tuyến đường từ Quốc lộ 12 đi bản Huổi Xuân, tuyến đường từ Quốc lộ 12 đi Thèn Pả</t>
  </si>
  <si>
    <t>Sửa chữa, cải tạo nhà nội trú và bếp ăn Trường PTDTBT Tiểu học số 2 Na Sang</t>
  </si>
  <si>
    <t>Phòng, chống dịch tả lợn châu phi</t>
  </si>
  <si>
    <t>Chi khắc phục thiệt hại do mưa lũ</t>
  </si>
  <si>
    <t>Sự nghiệp giáo dục</t>
  </si>
  <si>
    <t>Sự nghiệp Kinh tế (nhà khách)</t>
  </si>
  <si>
    <t xml:space="preserve">      - Kinh phí mua bảo hiểm cháy nổ nhà khách 10 triệu đồng</t>
  </si>
  <si>
    <t>Đơn vị: Trung tâm Bồi dưỡng Chính trị</t>
  </si>
  <si>
    <t>Sự nghiệp  Đào tạo</t>
  </si>
  <si>
    <t>Lớp bồi dưỡng Đảng viên mới</t>
  </si>
  <si>
    <t>Lớp bồi dưỡng nghiệp vụ công tác Đảng dành cho Bí thư chi bộ và Cấp ủy viên cơ sở</t>
  </si>
  <si>
    <t>Quỹ tiền thưởng theo NĐ 73/2024/NĐ-CP</t>
  </si>
  <si>
    <t xml:space="preserve"> -</t>
  </si>
  <si>
    <t>Đơn vị: Trường Mầm non Ma Thì Hồ</t>
  </si>
  <si>
    <t>Đơn vị: Trường Mầm Non số 1 Na Sang</t>
  </si>
  <si>
    <t>Đơn vị: Trường Mầm Non số 2 Na Sang</t>
  </si>
  <si>
    <t>Đơn vị: Trường Mầm Non Sa Lông</t>
  </si>
  <si>
    <t>Đơn vị: Trường Mầm Non Sao Mai</t>
  </si>
  <si>
    <t>Đơn vị: Trường PTDTBT Tiểu học Ma Thì Hồ</t>
  </si>
  <si>
    <t>Đơn vị: Trường PTDTBT Tiểu học số 1 Na Sang</t>
  </si>
  <si>
    <t>Đơn vị: Trường PTDTBT Tiểu học số 2 Na Sang</t>
  </si>
  <si>
    <t>Đơn vị: Trường PTDTBT Tiểu học Sa Lông</t>
  </si>
  <si>
    <t>Đơn vị: Trường Tiểu học Na Sang</t>
  </si>
  <si>
    <t>Đơn vị: Trường PTDTBT THCS Ma Thì Hồ</t>
  </si>
  <si>
    <t>Đơn vị: Trường PTDTBT THCS Na Sang</t>
  </si>
  <si>
    <t>Đơn vị: Trường PTDTBT THCS Sa Lông</t>
  </si>
  <si>
    <t>Đơn vị: Trường THCS số 1 Na Sang</t>
  </si>
  <si>
    <t>H.trợ trẻ em nhà trẻ, HS vùng DBDTTS và MN theo NĐ 66/2025/NĐ-CP</t>
  </si>
  <si>
    <t>Chính sách theo Nghị định 238/2025/NĐ-CP</t>
  </si>
  <si>
    <t>Sửa chữa điểm trường bản Hin 1</t>
  </si>
  <si>
    <t>Cải tạo, nâng cấp trường MN số 2 Na Sang</t>
  </si>
  <si>
    <t>Cải tạo, nâng cấp trường MN Sa Lông</t>
  </si>
  <si>
    <t xml:space="preserve">Cải tạo, sửa chữa hạng mục phụ trợ </t>
  </si>
  <si>
    <t>Chính sách hỗ trợ HS dân tộc rất ít người theo NĐ 57/2017/NĐ-CP</t>
  </si>
  <si>
    <t>(Kèm theo Quyết định số 815/QĐ-UBND ngày 05  tháng 11 năm 2025 của UBND xã)</t>
  </si>
  <si>
    <t xml:space="preserve">      - Đã khấu trừ 10% tiết kiệm năm 2025 thực hiện chính sách tiền lương cơ sở: 2 triệu đồng. </t>
  </si>
  <si>
    <t>ĐVT: đồng</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</si>
</sst>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3" formatCode="_(* #,##0.00_);_(* \(#,##0.00\);_(* &quot;-&quot;??_);_(@_)"/>
    <numFmt numFmtId="186" formatCode="_(* #,##0_);_(* \(#,##0\);_(* &quot;-&quot;??_);_(@_)"/>
    <numFmt numFmtId="202" formatCode="_(* #,##0.000_);_(* \(#,##0.000\);_(* &quot;-&quot;??_);_(@_)"/>
    <numFmt numFmtId="216" formatCode="#,###;\-#,###"/>
    <numFmt numFmtId="217" formatCode="000"/>
    <numFmt numFmtId="218" formatCode="#,##0.00;\-#,##0.00;\-"/>
    <numFmt numFmtId="219" formatCode="00"/>
  </numFmts>
  <fonts count="32" x14ac:knownFonts="1">
    <font>
      <sz val="11"/>
      <color theme="1"/>
      <name val="Calibri"/>
      <family val="2"/>
      <scheme val="minor"/>
    </font>
    <font>
      <b/>
      <sz val="11"/>
      <color indexed="8"/>
      <name val="Times New Roman"/>
      <family val="1"/>
    </font>
    <font>
      <i/>
      <sz val="11"/>
      <color indexed="8"/>
      <name val="Times New Roman"/>
      <family val="1"/>
    </font>
    <font>
      <sz val="14"/>
      <name val="Times New Roman"/>
      <family val="1"/>
    </font>
    <font>
      <sz val="12"/>
      <name val="Times New Roman"/>
      <family val="1"/>
    </font>
    <font>
      <i/>
      <sz val="12"/>
      <name val="Times New Roman"/>
      <family val="1"/>
    </font>
    <font>
      <sz val="10"/>
      <name val="Arial"/>
      <family val="2"/>
    </font>
    <font>
      <b/>
      <sz val="11"/>
      <name val="Times New Roman"/>
      <family val="1"/>
    </font>
    <font>
      <sz val="11"/>
      <name val="Times New Roman"/>
      <family val="1"/>
    </font>
    <font>
      <sz val="12"/>
      <name val=".VnTime"/>
      <family val="2"/>
    </font>
    <font>
      <sz val="10"/>
      <name val="Times New Roman"/>
      <family val="1"/>
    </font>
    <font>
      <b/>
      <sz val="12"/>
      <name val="Times New Roman"/>
      <family val="1"/>
    </font>
    <font>
      <sz val="11"/>
      <color indexed="8"/>
      <name val="Calibri"/>
      <family val="2"/>
    </font>
    <font>
      <i/>
      <sz val="11"/>
      <name val="Times New Roman"/>
      <family val="1"/>
    </font>
    <font>
      <b/>
      <i/>
      <sz val="12"/>
      <name val="Times New Roman"/>
      <family val="1"/>
    </font>
    <font>
      <i/>
      <sz val="10"/>
      <name val="Times New Roman"/>
      <family val="1"/>
    </font>
    <font>
      <sz val="8"/>
      <name val="Calibri"/>
      <family val="2"/>
    </font>
    <font>
      <sz val="8"/>
      <name val="Calibri"/>
      <family val="2"/>
    </font>
    <font>
      <sz val="11"/>
      <color theme="1"/>
      <name val="Calibri"/>
      <family val="2"/>
      <scheme val="minor"/>
    </font>
    <font>
      <sz val="11"/>
      <color theme="1"/>
      <name val="Times New Roman"/>
      <family val="1"/>
    </font>
    <font>
      <b/>
      <sz val="11"/>
      <color theme="1"/>
      <name val="Times New Roman"/>
      <family val="1"/>
    </font>
    <font>
      <i/>
      <sz val="11"/>
      <color theme="1"/>
      <name val="Times New Roman"/>
      <family val="1"/>
    </font>
    <font>
      <sz val="11"/>
      <color rgb="FFFF0000"/>
      <name val="Times New Roman"/>
      <family val="1"/>
    </font>
    <font>
      <sz val="14"/>
      <color theme="1"/>
      <name val="Times New Roman"/>
      <family val="1"/>
    </font>
    <font>
      <b/>
      <sz val="12"/>
      <color theme="1"/>
      <name val="Times New Roman"/>
      <family val="1"/>
    </font>
    <font>
      <sz val="12"/>
      <color theme="1"/>
      <name val="Times New Roman"/>
      <family val="1"/>
    </font>
    <font>
      <i/>
      <sz val="12"/>
      <color theme="1"/>
      <name val="Times New Roman"/>
      <family val="1"/>
    </font>
    <font>
      <i/>
      <sz val="14"/>
      <color theme="1"/>
      <name val="Times New Roman"/>
      <family val="1"/>
    </font>
    <font>
      <sz val="12"/>
      <color rgb="FFFF0000"/>
      <name val="Times New Roman"/>
      <family val="1"/>
    </font>
    <font>
      <b/>
      <i/>
      <sz val="12"/>
      <color theme="1"/>
      <name val="Times New Roman"/>
      <family val="1"/>
    </font>
    <font>
      <i/>
      <sz val="12"/>
      <color rgb="FFFF0000"/>
      <name val="Times New Roman"/>
      <family val="1"/>
    </font>
    <font>
      <b/>
      <sz val="14"/>
      <color theme="1"/>
      <name val="Times New Roman"/>
      <family val="1"/>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7">
    <xf numFmtId="0" fontId="0" fillId="0" borderId="0"/>
    <xf numFmtId="173" fontId="18" fillId="0" borderId="0" applyFont="0" applyFill="0" applyBorder="0" applyAlignment="0" applyProtection="0"/>
    <xf numFmtId="0" fontId="6" fillId="0" borderId="0"/>
    <xf numFmtId="0" fontId="4" fillId="0" borderId="0"/>
    <xf numFmtId="0" fontId="9" fillId="0" borderId="0"/>
    <xf numFmtId="0" fontId="3" fillId="0" borderId="0"/>
    <xf numFmtId="0" fontId="12" fillId="0" borderId="0"/>
  </cellStyleXfs>
  <cellXfs count="322">
    <xf numFmtId="0" fontId="0" fillId="0" borderId="0" xfId="0"/>
    <xf numFmtId="0" fontId="19" fillId="0" borderId="0" xfId="0" applyFont="1"/>
    <xf numFmtId="0" fontId="20" fillId="0" borderId="0" xfId="0" applyFont="1" applyAlignment="1">
      <alignment horizontal="center"/>
    </xf>
    <xf numFmtId="0" fontId="20" fillId="0" borderId="0" xfId="0" applyFont="1"/>
    <xf numFmtId="186" fontId="20" fillId="0" borderId="0" xfId="1" applyNumberFormat="1" applyFont="1"/>
    <xf numFmtId="0" fontId="20" fillId="0" borderId="1" xfId="0" applyFont="1" applyBorder="1" applyAlignment="1">
      <alignment horizontal="center"/>
    </xf>
    <xf numFmtId="0" fontId="20" fillId="0" borderId="1" xfId="0" applyFont="1" applyBorder="1"/>
    <xf numFmtId="186" fontId="20" fillId="0" borderId="1" xfId="1" applyNumberFormat="1" applyFont="1" applyBorder="1"/>
    <xf numFmtId="0" fontId="20" fillId="2" borderId="1" xfId="0" applyFont="1" applyFill="1" applyBorder="1" applyAlignment="1">
      <alignment horizontal="center"/>
    </xf>
    <xf numFmtId="0" fontId="20" fillId="2" borderId="1" xfId="0" applyFont="1" applyFill="1" applyBorder="1"/>
    <xf numFmtId="186" fontId="20" fillId="2" borderId="1" xfId="1" applyNumberFormat="1" applyFont="1" applyFill="1" applyBorder="1"/>
    <xf numFmtId="0" fontId="20" fillId="0" borderId="1" xfId="0" applyFont="1" applyFill="1" applyBorder="1" applyAlignment="1">
      <alignment wrapText="1"/>
    </xf>
    <xf numFmtId="0" fontId="19" fillId="0" borderId="1" xfId="0" applyFont="1" applyBorder="1" applyAlignment="1">
      <alignment horizontal="center"/>
    </xf>
    <xf numFmtId="0" fontId="19" fillId="0" borderId="1" xfId="0" applyFont="1" applyBorder="1"/>
    <xf numFmtId="186" fontId="19" fillId="0" borderId="1" xfId="1" applyNumberFormat="1" applyFont="1" applyBorder="1"/>
    <xf numFmtId="0" fontId="19" fillId="0" borderId="1" xfId="0" applyFont="1" applyBorder="1" applyAlignment="1">
      <alignment wrapText="1"/>
    </xf>
    <xf numFmtId="0" fontId="21" fillId="0" borderId="1" xfId="0" applyFont="1" applyBorder="1" applyAlignment="1">
      <alignment horizontal="center"/>
    </xf>
    <xf numFmtId="0" fontId="21" fillId="0" borderId="1" xfId="0" applyFont="1" applyBorder="1" applyAlignment="1">
      <alignment wrapText="1"/>
    </xf>
    <xf numFmtId="186" fontId="21" fillId="0" borderId="1" xfId="1" applyNumberFormat="1" applyFont="1" applyBorder="1"/>
    <xf numFmtId="0" fontId="21" fillId="0" borderId="1" xfId="0" applyFont="1" applyBorder="1"/>
    <xf numFmtId="0" fontId="21" fillId="0" borderId="0" xfId="0" applyFont="1"/>
    <xf numFmtId="3" fontId="19" fillId="0" borderId="1" xfId="0" applyNumberFormat="1" applyFont="1" applyBorder="1"/>
    <xf numFmtId="0" fontId="20" fillId="0" borderId="1" xfId="0" applyFont="1" applyBorder="1" applyAlignment="1">
      <alignment wrapText="1"/>
    </xf>
    <xf numFmtId="0" fontId="19" fillId="0" borderId="1" xfId="0" applyFont="1" applyBorder="1" applyAlignment="1">
      <alignment horizontal="center" vertical="center"/>
    </xf>
    <xf numFmtId="173" fontId="19" fillId="0" borderId="1" xfId="0" applyNumberFormat="1" applyFont="1" applyBorder="1"/>
    <xf numFmtId="173" fontId="19" fillId="0" borderId="0" xfId="0" applyNumberFormat="1" applyFont="1"/>
    <xf numFmtId="0" fontId="20" fillId="0" borderId="1" xfId="0" applyFont="1" applyBorder="1" applyAlignment="1">
      <alignment horizontal="center" vertical="center"/>
    </xf>
    <xf numFmtId="173" fontId="20" fillId="0" borderId="1" xfId="0" applyNumberFormat="1" applyFont="1" applyBorder="1"/>
    <xf numFmtId="173" fontId="20" fillId="0" borderId="0" xfId="0" applyNumberFormat="1" applyFont="1"/>
    <xf numFmtId="0" fontId="20" fillId="0" borderId="1" xfId="0" applyFont="1" applyFill="1" applyBorder="1" applyAlignment="1">
      <alignment horizontal="center"/>
    </xf>
    <xf numFmtId="186" fontId="20" fillId="0" borderId="1" xfId="1" applyNumberFormat="1" applyFont="1" applyFill="1" applyBorder="1"/>
    <xf numFmtId="0" fontId="20" fillId="0" borderId="1" xfId="0" applyFont="1" applyFill="1" applyBorder="1"/>
    <xf numFmtId="0" fontId="19" fillId="0" borderId="1" xfId="0" applyFont="1" applyFill="1" applyBorder="1" applyAlignment="1">
      <alignment wrapText="1"/>
    </xf>
    <xf numFmtId="0" fontId="19" fillId="0" borderId="0" xfId="0" applyFont="1" applyAlignment="1">
      <alignment horizontal="center"/>
    </xf>
    <xf numFmtId="186" fontId="19" fillId="0" borderId="0" xfId="1" applyNumberFormat="1" applyFont="1"/>
    <xf numFmtId="0" fontId="20" fillId="0" borderId="1" xfId="0" applyFont="1" applyBorder="1" applyAlignment="1"/>
    <xf numFmtId="186" fontId="20" fillId="0" borderId="1" xfId="1" applyNumberFormat="1" applyFont="1" applyBorder="1" applyAlignment="1">
      <alignment horizontal="center" vertical="center" wrapText="1"/>
    </xf>
    <xf numFmtId="186" fontId="19" fillId="0" borderId="0" xfId="0" applyNumberFormat="1" applyFont="1"/>
    <xf numFmtId="0" fontId="20" fillId="0" borderId="0" xfId="0" applyFont="1" applyFill="1"/>
    <xf numFmtId="0" fontId="19" fillId="0" borderId="0" xfId="0" applyFont="1" applyFill="1"/>
    <xf numFmtId="0" fontId="19" fillId="0" borderId="1" xfId="0" applyFont="1" applyFill="1" applyBorder="1" applyAlignment="1">
      <alignment horizontal="center"/>
    </xf>
    <xf numFmtId="0" fontId="19" fillId="0" borderId="1" xfId="0" applyFont="1" applyFill="1" applyBorder="1"/>
    <xf numFmtId="186" fontId="19" fillId="0" borderId="1" xfId="1" applyNumberFormat="1" applyFont="1" applyFill="1" applyBorder="1"/>
    <xf numFmtId="186" fontId="22" fillId="0" borderId="1" xfId="1" applyNumberFormat="1" applyFont="1" applyFill="1" applyBorder="1"/>
    <xf numFmtId="0" fontId="19" fillId="0" borderId="1" xfId="0" applyFont="1" applyFill="1" applyBorder="1" applyAlignment="1">
      <alignment horizontal="center" vertical="center"/>
    </xf>
    <xf numFmtId="0" fontId="19" fillId="0" borderId="1" xfId="0" applyFont="1" applyFill="1" applyBorder="1" applyAlignment="1">
      <alignment vertical="center"/>
    </xf>
    <xf numFmtId="0" fontId="19" fillId="0" borderId="1" xfId="0" quotePrefix="1" applyFont="1" applyBorder="1" applyAlignment="1">
      <alignment wrapText="1"/>
    </xf>
    <xf numFmtId="202" fontId="20" fillId="0" borderId="1" xfId="1" applyNumberFormat="1" applyFont="1" applyFill="1" applyBorder="1"/>
    <xf numFmtId="202" fontId="19" fillId="0" borderId="1" xfId="1" applyNumberFormat="1" applyFont="1" applyFill="1" applyBorder="1" applyAlignment="1">
      <alignment vertical="center"/>
    </xf>
    <xf numFmtId="202" fontId="20" fillId="0" borderId="1" xfId="1" applyNumberFormat="1" applyFont="1" applyBorder="1"/>
    <xf numFmtId="202" fontId="19" fillId="0" borderId="1" xfId="1" applyNumberFormat="1" applyFont="1" applyBorder="1"/>
    <xf numFmtId="202" fontId="19" fillId="0" borderId="1" xfId="1" applyNumberFormat="1" applyFont="1" applyFill="1" applyBorder="1"/>
    <xf numFmtId="202" fontId="22" fillId="0" borderId="1" xfId="1" applyNumberFormat="1" applyFont="1" applyFill="1" applyBorder="1"/>
    <xf numFmtId="202" fontId="21" fillId="0" borderId="1" xfId="1" applyNumberFormat="1" applyFont="1" applyBorder="1"/>
    <xf numFmtId="202" fontId="20" fillId="0" borderId="1" xfId="0" applyNumberFormat="1" applyFont="1" applyBorder="1" applyAlignment="1"/>
    <xf numFmtId="0" fontId="23" fillId="0" borderId="0" xfId="0" applyFont="1" applyAlignment="1">
      <alignment vertical="center"/>
    </xf>
    <xf numFmtId="0" fontId="23" fillId="0" borderId="0" xfId="0" applyFont="1"/>
    <xf numFmtId="0" fontId="24" fillId="0" borderId="1" xfId="0" applyFont="1" applyBorder="1" applyAlignment="1">
      <alignment horizontal="center" vertical="center" wrapText="1"/>
    </xf>
    <xf numFmtId="0" fontId="25" fillId="0" borderId="0" xfId="0" applyFont="1"/>
    <xf numFmtId="0" fontId="24" fillId="0" borderId="1" xfId="0" applyFont="1" applyBorder="1" applyAlignment="1">
      <alignment horizontal="center" vertical="center"/>
    </xf>
    <xf numFmtId="0" fontId="24" fillId="0" borderId="1" xfId="0" applyFont="1" applyBorder="1" applyAlignment="1">
      <alignment horizontal="left" vertical="center"/>
    </xf>
    <xf numFmtId="0" fontId="24" fillId="0" borderId="0" xfId="0" applyFont="1"/>
    <xf numFmtId="0" fontId="25" fillId="0" borderId="1" xfId="0" applyFont="1" applyBorder="1" applyAlignment="1">
      <alignment horizontal="center" vertical="center"/>
    </xf>
    <xf numFmtId="0" fontId="25" fillId="0" borderId="1" xfId="0" applyFont="1" applyBorder="1" applyAlignment="1">
      <alignment horizontal="left" vertical="center"/>
    </xf>
    <xf numFmtId="0" fontId="25" fillId="0" borderId="0" xfId="0" applyFont="1" applyAlignment="1">
      <alignment vertical="center"/>
    </xf>
    <xf numFmtId="0" fontId="24" fillId="0" borderId="0" xfId="0" applyFont="1" applyAlignment="1">
      <alignment vertical="center"/>
    </xf>
    <xf numFmtId="186" fontId="24" fillId="0" borderId="1" xfId="1" applyNumberFormat="1" applyFont="1" applyBorder="1" applyAlignment="1">
      <alignment horizontal="right" vertical="center"/>
    </xf>
    <xf numFmtId="186" fontId="25" fillId="0" borderId="1" xfId="1" applyNumberFormat="1" applyFont="1" applyBorder="1" applyAlignment="1">
      <alignment horizontal="right" vertical="center"/>
    </xf>
    <xf numFmtId="0" fontId="25" fillId="0" borderId="1" xfId="0" quotePrefix="1" applyFont="1" applyBorder="1" applyAlignment="1">
      <alignment horizontal="center" vertical="center"/>
    </xf>
    <xf numFmtId="0" fontId="20" fillId="3" borderId="1" xfId="0" applyFont="1" applyFill="1" applyBorder="1" applyAlignment="1">
      <alignment horizontal="center"/>
    </xf>
    <xf numFmtId="0" fontId="20" fillId="3" borderId="1" xfId="0" applyFont="1" applyFill="1" applyBorder="1"/>
    <xf numFmtId="186" fontId="20" fillId="3" borderId="1" xfId="1" applyNumberFormat="1" applyFont="1" applyFill="1" applyBorder="1"/>
    <xf numFmtId="0" fontId="19" fillId="3" borderId="1" xfId="0" applyFont="1" applyFill="1" applyBorder="1"/>
    <xf numFmtId="0" fontId="20" fillId="3" borderId="1" xfId="0" applyFont="1" applyFill="1" applyBorder="1" applyAlignment="1">
      <alignment wrapText="1"/>
    </xf>
    <xf numFmtId="186" fontId="22" fillId="0" borderId="1" xfId="1" applyNumberFormat="1" applyFont="1" applyBorder="1"/>
    <xf numFmtId="186" fontId="24" fillId="0" borderId="1" xfId="1" applyNumberFormat="1" applyFont="1" applyBorder="1" applyAlignment="1">
      <alignment horizontal="center" vertical="center" wrapText="1"/>
    </xf>
    <xf numFmtId="186" fontId="25" fillId="0" borderId="0" xfId="1" applyNumberFormat="1" applyFont="1"/>
    <xf numFmtId="0" fontId="25" fillId="0" borderId="1" xfId="0" applyFont="1" applyBorder="1" applyAlignment="1">
      <alignment horizontal="center"/>
    </xf>
    <xf numFmtId="0" fontId="25" fillId="0" borderId="0" xfId="0" applyFont="1" applyAlignment="1">
      <alignment horizontal="center"/>
    </xf>
    <xf numFmtId="0" fontId="26" fillId="0" borderId="1" xfId="0" applyFont="1" applyBorder="1" applyAlignment="1">
      <alignment horizontal="center" vertical="center"/>
    </xf>
    <xf numFmtId="0" fontId="26" fillId="0" borderId="0" xfId="0" applyFont="1"/>
    <xf numFmtId="0" fontId="24" fillId="0" borderId="0" xfId="0" applyFont="1" applyAlignment="1">
      <alignment horizontal="left" vertical="center"/>
    </xf>
    <xf numFmtId="186" fontId="20" fillId="0" borderId="1" xfId="1" applyNumberFormat="1" applyFont="1" applyBorder="1" applyAlignment="1"/>
    <xf numFmtId="186" fontId="20" fillId="0" borderId="0" xfId="0" applyNumberFormat="1" applyFont="1"/>
    <xf numFmtId="186" fontId="23" fillId="0" borderId="0" xfId="1" applyNumberFormat="1" applyFont="1"/>
    <xf numFmtId="186" fontId="25" fillId="0" borderId="1" xfId="1" applyNumberFormat="1" applyFont="1" applyBorder="1" applyAlignment="1">
      <alignment horizontal="right"/>
    </xf>
    <xf numFmtId="0" fontId="26" fillId="0" borderId="1" xfId="0" applyFont="1" applyBorder="1" applyAlignment="1">
      <alignment horizontal="left" vertical="center"/>
    </xf>
    <xf numFmtId="0" fontId="26" fillId="0" borderId="1" xfId="0" applyFont="1" applyBorder="1" applyAlignment="1">
      <alignment horizontal="right" vertical="center"/>
    </xf>
    <xf numFmtId="186" fontId="26" fillId="0" borderId="1" xfId="1" applyNumberFormat="1" applyFont="1" applyBorder="1" applyAlignment="1">
      <alignment horizontal="right" vertical="center"/>
    </xf>
    <xf numFmtId="0" fontId="27" fillId="0" borderId="0" xfId="0" applyFont="1"/>
    <xf numFmtId="0" fontId="5" fillId="0" borderId="1" xfId="5" applyFont="1" applyBorder="1" applyAlignment="1">
      <alignment vertical="center" wrapText="1"/>
    </xf>
    <xf numFmtId="0" fontId="5" fillId="0" borderId="1" xfId="3" quotePrefix="1" applyFont="1" applyBorder="1" applyAlignment="1">
      <alignment horizontal="left" vertical="center" wrapText="1"/>
    </xf>
    <xf numFmtId="0" fontId="7" fillId="0" borderId="1" xfId="2" applyFont="1" applyBorder="1" applyAlignment="1">
      <alignment vertical="center" wrapText="1"/>
    </xf>
    <xf numFmtId="0" fontId="8" fillId="0" borderId="1" xfId="2" applyFont="1" applyBorder="1" applyAlignment="1">
      <alignment vertical="center" wrapText="1"/>
    </xf>
    <xf numFmtId="186" fontId="5" fillId="0" borderId="1" xfId="1" applyNumberFormat="1" applyFont="1" applyFill="1" applyBorder="1" applyAlignment="1">
      <alignment vertical="center"/>
    </xf>
    <xf numFmtId="0" fontId="28" fillId="0" borderId="1" xfId="0" applyFont="1" applyBorder="1" applyAlignment="1">
      <alignment horizontal="left" vertical="center" wrapText="1"/>
    </xf>
    <xf numFmtId="0" fontId="4" fillId="0" borderId="1" xfId="0" applyFont="1" applyBorder="1" applyAlignment="1">
      <alignment horizontal="left" vertical="center" wrapText="1"/>
    </xf>
    <xf numFmtId="0" fontId="24" fillId="0" borderId="1" xfId="0" applyFont="1" applyBorder="1" applyAlignment="1">
      <alignment horizontal="left" vertical="center"/>
    </xf>
    <xf numFmtId="186" fontId="24" fillId="0" borderId="1" xfId="1" applyNumberFormat="1" applyFont="1" applyBorder="1" applyAlignment="1">
      <alignment horizontal="right" vertical="center"/>
    </xf>
    <xf numFmtId="0" fontId="25" fillId="0" borderId="1" xfId="0" applyFont="1" applyBorder="1" applyAlignment="1">
      <alignment horizontal="center" vertical="center"/>
    </xf>
    <xf numFmtId="0" fontId="25" fillId="0" borderId="1" xfId="0" applyFont="1" applyBorder="1" applyAlignment="1">
      <alignment horizontal="left" vertical="center"/>
    </xf>
    <xf numFmtId="186" fontId="25" fillId="0" borderId="1" xfId="1" applyNumberFormat="1" applyFont="1" applyBorder="1" applyAlignment="1">
      <alignment horizontal="right" vertical="center"/>
    </xf>
    <xf numFmtId="0" fontId="25" fillId="0" borderId="1" xfId="0" applyFont="1" applyBorder="1" applyAlignment="1">
      <alignment horizontal="center"/>
    </xf>
    <xf numFmtId="0" fontId="26" fillId="0" borderId="1" xfId="0" applyFont="1" applyBorder="1" applyAlignment="1">
      <alignment horizontal="center" vertical="center"/>
    </xf>
    <xf numFmtId="0" fontId="26" fillId="0" borderId="1" xfId="0" applyFont="1" applyBorder="1" applyAlignment="1">
      <alignment horizontal="center"/>
    </xf>
    <xf numFmtId="186" fontId="25" fillId="0" borderId="1" xfId="1" applyNumberFormat="1" applyFont="1" applyBorder="1"/>
    <xf numFmtId="0" fontId="26" fillId="0" borderId="1" xfId="0" applyFont="1" applyBorder="1" applyAlignment="1">
      <alignment wrapText="1"/>
    </xf>
    <xf numFmtId="186" fontId="26" fillId="0" borderId="1" xfId="1" applyNumberFormat="1" applyFont="1" applyBorder="1"/>
    <xf numFmtId="0" fontId="24" fillId="0" borderId="1" xfId="0" applyFont="1" applyBorder="1" applyAlignment="1">
      <alignment horizontal="center"/>
    </xf>
    <xf numFmtId="0" fontId="24" fillId="0" borderId="1" xfId="0" applyFont="1" applyBorder="1"/>
    <xf numFmtId="186" fontId="24" fillId="0" borderId="1" xfId="1" applyNumberFormat="1" applyFont="1" applyBorder="1"/>
    <xf numFmtId="0" fontId="4" fillId="0" borderId="1" xfId="0" applyFont="1" applyBorder="1" applyAlignment="1">
      <alignment vertical="center" wrapText="1"/>
    </xf>
    <xf numFmtId="0" fontId="25" fillId="0" borderId="1" xfId="0" applyFont="1" applyBorder="1"/>
    <xf numFmtId="0" fontId="26" fillId="0" borderId="1" xfId="0" applyFont="1" applyBorder="1"/>
    <xf numFmtId="0" fontId="5" fillId="0" borderId="1" xfId="0" applyFont="1" applyBorder="1" applyAlignment="1">
      <alignment vertical="center" wrapText="1"/>
    </xf>
    <xf numFmtId="0" fontId="11" fillId="0" borderId="1" xfId="0" applyFont="1" applyBorder="1" applyAlignment="1">
      <alignment horizontal="left" vertical="center" wrapText="1"/>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5" fillId="0" borderId="1" xfId="5" applyFont="1" applyBorder="1" applyAlignment="1">
      <alignment horizontal="center" vertical="center" wrapText="1"/>
    </xf>
    <xf numFmtId="0" fontId="11" fillId="0" borderId="0" xfId="0" applyFont="1" applyAlignment="1">
      <alignment horizontal="center" vertical="center"/>
    </xf>
    <xf numFmtId="0" fontId="4" fillId="0" borderId="0" xfId="0" applyFont="1" applyAlignment="1">
      <alignment vertical="center"/>
    </xf>
    <xf numFmtId="0" fontId="11" fillId="0" borderId="0" xfId="0" applyFont="1" applyAlignment="1">
      <alignment horizontal="left" vertical="center"/>
    </xf>
    <xf numFmtId="0" fontId="11" fillId="0" borderId="0" xfId="0" applyFont="1" applyAlignment="1">
      <alignment vertical="center"/>
    </xf>
    <xf numFmtId="0" fontId="11" fillId="0" borderId="1" xfId="0" applyFont="1" applyBorder="1" applyAlignment="1">
      <alignment horizontal="center" vertical="center" wrapText="1"/>
    </xf>
    <xf numFmtId="186" fontId="11" fillId="0" borderId="1" xfId="1" applyNumberFormat="1" applyFont="1" applyBorder="1" applyAlignment="1">
      <alignment horizontal="center" vertical="center" wrapText="1"/>
    </xf>
    <xf numFmtId="0" fontId="4" fillId="0" borderId="0" xfId="0" applyFont="1"/>
    <xf numFmtId="0" fontId="11" fillId="0" borderId="1" xfId="0" applyFont="1" applyBorder="1" applyAlignment="1">
      <alignment horizontal="center" vertical="center"/>
    </xf>
    <xf numFmtId="0" fontId="11" fillId="0" borderId="1" xfId="0" applyFont="1" applyBorder="1" applyAlignment="1">
      <alignment horizontal="left" vertical="center"/>
    </xf>
    <xf numFmtId="186" fontId="11" fillId="0" borderId="1" xfId="1" applyNumberFormat="1" applyFont="1" applyBorder="1" applyAlignment="1">
      <alignment horizontal="right" vertical="center"/>
    </xf>
    <xf numFmtId="0" fontId="11" fillId="0" borderId="0" xfId="0" applyFont="1"/>
    <xf numFmtId="0" fontId="4" fillId="0" borderId="1" xfId="0" applyFont="1" applyBorder="1" applyAlignment="1">
      <alignment horizontal="center" vertical="center"/>
    </xf>
    <xf numFmtId="0" fontId="4" fillId="0" borderId="1" xfId="0" applyFont="1" applyBorder="1" applyAlignment="1">
      <alignment horizontal="left" vertical="center"/>
    </xf>
    <xf numFmtId="186" fontId="4" fillId="0" borderId="1" xfId="1" applyNumberFormat="1" applyFont="1" applyBorder="1" applyAlignment="1">
      <alignment horizontal="right" vertical="center"/>
    </xf>
    <xf numFmtId="0" fontId="4" fillId="0" borderId="1" xfId="0" applyFont="1" applyBorder="1" applyAlignment="1">
      <alignment horizontal="center"/>
    </xf>
    <xf numFmtId="0" fontId="5" fillId="0" borderId="1" xfId="0" applyFont="1" applyBorder="1" applyAlignment="1">
      <alignment horizontal="center" vertical="center"/>
    </xf>
    <xf numFmtId="0" fontId="5" fillId="0" borderId="1" xfId="0" applyFont="1" applyBorder="1" applyAlignment="1">
      <alignment horizontal="center"/>
    </xf>
    <xf numFmtId="186" fontId="4" fillId="0" borderId="1" xfId="1" applyNumberFormat="1" applyFont="1" applyBorder="1"/>
    <xf numFmtId="0" fontId="5" fillId="0" borderId="1" xfId="0" applyFont="1" applyBorder="1" applyAlignment="1">
      <alignment wrapText="1"/>
    </xf>
    <xf numFmtId="186" fontId="5" fillId="0" borderId="1" xfId="1" applyNumberFormat="1" applyFont="1" applyBorder="1"/>
    <xf numFmtId="0" fontId="5" fillId="0" borderId="0" xfId="0" applyFont="1"/>
    <xf numFmtId="0" fontId="11" fillId="0" borderId="1" xfId="0" applyFont="1" applyBorder="1" applyAlignment="1">
      <alignment horizontal="center"/>
    </xf>
    <xf numFmtId="0" fontId="11" fillId="0" borderId="1" xfId="0" applyFont="1" applyBorder="1"/>
    <xf numFmtId="186" fontId="11" fillId="0" borderId="1" xfId="1" applyNumberFormat="1" applyFont="1" applyBorder="1"/>
    <xf numFmtId="0" fontId="4" fillId="0" borderId="1" xfId="0" applyFont="1" applyBorder="1"/>
    <xf numFmtId="0" fontId="4" fillId="0" borderId="0" xfId="0" applyFont="1" applyAlignment="1">
      <alignment horizontal="center"/>
    </xf>
    <xf numFmtId="186" fontId="4" fillId="0" borderId="0" xfId="1" applyNumberFormat="1" applyFont="1"/>
    <xf numFmtId="186" fontId="5" fillId="0" borderId="1" xfId="1" applyNumberFormat="1" applyFont="1" applyBorder="1" applyAlignment="1">
      <alignment vertical="center"/>
    </xf>
    <xf numFmtId="186" fontId="8" fillId="0" borderId="1" xfId="1" applyNumberFormat="1" applyFont="1" applyBorder="1" applyAlignment="1">
      <alignment horizontal="right" vertical="center" wrapText="1"/>
    </xf>
    <xf numFmtId="186" fontId="13" fillId="0" borderId="1" xfId="1" applyNumberFormat="1" applyFont="1" applyBorder="1" applyAlignment="1">
      <alignment horizontal="right" vertical="center" wrapText="1"/>
    </xf>
    <xf numFmtId="186" fontId="5" fillId="0" borderId="1" xfId="1" applyNumberFormat="1" applyFont="1" applyBorder="1" applyAlignment="1">
      <alignment horizontal="right" vertical="center" wrapText="1"/>
    </xf>
    <xf numFmtId="186" fontId="24" fillId="0" borderId="1" xfId="1" applyNumberFormat="1" applyFont="1" applyFill="1" applyBorder="1" applyAlignment="1">
      <alignment horizontal="right" vertical="center"/>
    </xf>
    <xf numFmtId="186" fontId="25" fillId="0" borderId="1" xfId="1" applyNumberFormat="1" applyFont="1" applyFill="1" applyBorder="1" applyAlignment="1">
      <alignment horizontal="right" vertical="center"/>
    </xf>
    <xf numFmtId="186" fontId="25" fillId="0" borderId="1" xfId="1" applyNumberFormat="1" applyFont="1" applyFill="1" applyBorder="1"/>
    <xf numFmtId="186" fontId="26" fillId="0" borderId="1" xfId="1" applyNumberFormat="1" applyFont="1" applyFill="1" applyBorder="1"/>
    <xf numFmtId="186" fontId="4" fillId="0" borderId="1" xfId="1" applyNumberFormat="1" applyFont="1" applyFill="1" applyBorder="1" applyAlignment="1">
      <alignment vertical="center"/>
    </xf>
    <xf numFmtId="186" fontId="5" fillId="0" borderId="1" xfId="1" applyNumberFormat="1" applyFont="1" applyFill="1" applyBorder="1" applyAlignment="1">
      <alignment horizontal="right" vertical="center" wrapText="1"/>
    </xf>
    <xf numFmtId="186" fontId="4" fillId="0" borderId="1" xfId="1" applyNumberFormat="1" applyFont="1" applyFill="1" applyBorder="1" applyAlignment="1">
      <alignment horizontal="right" vertical="center" wrapText="1"/>
    </xf>
    <xf numFmtId="186" fontId="25" fillId="0" borderId="0" xfId="1" applyNumberFormat="1" applyFont="1" applyFill="1"/>
    <xf numFmtId="186" fontId="11" fillId="0" borderId="1" xfId="1" applyNumberFormat="1" applyFont="1" applyFill="1" applyBorder="1" applyAlignment="1">
      <alignment horizontal="right" vertical="center"/>
    </xf>
    <xf numFmtId="186" fontId="4" fillId="0" borderId="1" xfId="1" applyNumberFormat="1" applyFont="1" applyFill="1" applyBorder="1" applyAlignment="1">
      <alignment horizontal="right" vertical="center"/>
    </xf>
    <xf numFmtId="186" fontId="4" fillId="0" borderId="1" xfId="1" applyNumberFormat="1" applyFont="1" applyFill="1" applyBorder="1"/>
    <xf numFmtId="186" fontId="5" fillId="0" borderId="1" xfId="1" applyNumberFormat="1" applyFont="1" applyFill="1" applyBorder="1"/>
    <xf numFmtId="186" fontId="11" fillId="0" borderId="1" xfId="1" applyNumberFormat="1" applyFont="1" applyFill="1" applyBorder="1"/>
    <xf numFmtId="186" fontId="11" fillId="0" borderId="1" xfId="1" applyNumberFormat="1" applyFont="1" applyFill="1" applyBorder="1" applyAlignment="1">
      <alignment vertical="center"/>
    </xf>
    <xf numFmtId="186" fontId="4" fillId="0" borderId="0" xfId="1" applyNumberFormat="1" applyFont="1" applyFill="1"/>
    <xf numFmtId="0" fontId="4" fillId="0" borderId="0" xfId="0" applyFont="1" applyFill="1" applyAlignment="1">
      <alignment vertical="center"/>
    </xf>
    <xf numFmtId="186" fontId="4" fillId="0" borderId="0" xfId="1" applyNumberFormat="1" applyFont="1" applyFill="1" applyAlignment="1">
      <alignment vertical="center"/>
    </xf>
    <xf numFmtId="0" fontId="11" fillId="0" borderId="0" xfId="0" applyFont="1" applyFill="1" applyAlignment="1">
      <alignment horizontal="left" vertical="center"/>
    </xf>
    <xf numFmtId="0" fontId="11" fillId="0" borderId="0" xfId="0" applyFont="1" applyFill="1" applyAlignment="1">
      <alignment vertical="center"/>
    </xf>
    <xf numFmtId="0" fontId="4" fillId="0" borderId="0" xfId="0" applyFont="1" applyFill="1" applyAlignment="1">
      <alignment horizontal="center"/>
    </xf>
    <xf numFmtId="0" fontId="4" fillId="0" borderId="0" xfId="0" applyFont="1" applyFill="1"/>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xf>
    <xf numFmtId="186" fontId="4" fillId="0" borderId="0" xfId="0" applyNumberFormat="1" applyFont="1" applyFill="1"/>
    <xf numFmtId="0" fontId="11" fillId="0" borderId="0" xfId="0" applyFont="1" applyFill="1"/>
    <xf numFmtId="186" fontId="11" fillId="0" borderId="0" xfId="1" applyNumberFormat="1" applyFont="1" applyFill="1"/>
    <xf numFmtId="186" fontId="11" fillId="0" borderId="0" xfId="0" applyNumberFormat="1" applyFont="1" applyFill="1"/>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center"/>
    </xf>
    <xf numFmtId="0" fontId="4" fillId="0" borderId="1" xfId="0" applyFont="1" applyFill="1" applyBorder="1"/>
    <xf numFmtId="0" fontId="5" fillId="0" borderId="1" xfId="0" applyFont="1" applyFill="1" applyBorder="1" applyAlignment="1">
      <alignment horizontal="center"/>
    </xf>
    <xf numFmtId="0" fontId="5" fillId="0" borderId="1" xfId="5" applyFont="1" applyFill="1" applyBorder="1" applyAlignment="1">
      <alignment vertical="center" wrapText="1"/>
    </xf>
    <xf numFmtId="0" fontId="5" fillId="0" borderId="1" xfId="0" applyFont="1" applyFill="1" applyBorder="1" applyAlignment="1">
      <alignment horizontal="center" vertical="center"/>
    </xf>
    <xf numFmtId="0" fontId="5" fillId="0" borderId="0" xfId="0" applyFont="1" applyFill="1"/>
    <xf numFmtId="0" fontId="11" fillId="0" borderId="1" xfId="0" applyFont="1" applyFill="1" applyBorder="1" applyAlignment="1">
      <alignment horizontal="center"/>
    </xf>
    <xf numFmtId="0" fontId="11" fillId="0" borderId="1" xfId="0" applyFont="1" applyFill="1" applyBorder="1"/>
    <xf numFmtId="0" fontId="4" fillId="0" borderId="1" xfId="0" applyFont="1" applyFill="1" applyBorder="1" applyAlignment="1">
      <alignment horizontal="left" vertical="center" wrapText="1"/>
    </xf>
    <xf numFmtId="0" fontId="4" fillId="0" borderId="1" xfId="0" applyFont="1" applyFill="1" applyBorder="1" applyAlignment="1">
      <alignment vertical="center"/>
    </xf>
    <xf numFmtId="0" fontId="14" fillId="0" borderId="1" xfId="0" applyFont="1" applyFill="1" applyBorder="1"/>
    <xf numFmtId="0" fontId="4" fillId="0" borderId="1" xfId="0" quotePrefix="1" applyFont="1" applyFill="1" applyBorder="1" applyAlignment="1">
      <alignment horizontal="center" vertical="center"/>
    </xf>
    <xf numFmtId="0" fontId="11" fillId="0" borderId="1" xfId="0" applyFont="1" applyFill="1" applyBorder="1" applyAlignment="1">
      <alignment vertical="center"/>
    </xf>
    <xf numFmtId="0" fontId="7" fillId="0" borderId="1" xfId="2" applyFont="1" applyFill="1" applyBorder="1" applyAlignment="1">
      <alignment vertical="center" wrapText="1"/>
    </xf>
    <xf numFmtId="0" fontId="8" fillId="0" borderId="1" xfId="2" applyFont="1" applyFill="1" applyBorder="1" applyAlignment="1">
      <alignment vertical="center" wrapText="1"/>
    </xf>
    <xf numFmtId="0" fontId="13" fillId="0" borderId="1" xfId="6" applyFont="1" applyFill="1" applyBorder="1" applyAlignment="1">
      <alignment vertical="center" wrapText="1"/>
    </xf>
    <xf numFmtId="0" fontId="4" fillId="0" borderId="1" xfId="0" applyFont="1" applyFill="1" applyBorder="1" applyAlignment="1">
      <alignment vertical="center" wrapText="1"/>
    </xf>
    <xf numFmtId="186" fontId="26" fillId="0" borderId="1" xfId="1" applyNumberFormat="1" applyFont="1" applyBorder="1" applyAlignment="1">
      <alignment horizontal="right"/>
    </xf>
    <xf numFmtId="186" fontId="24" fillId="0" borderId="1" xfId="1" applyNumberFormat="1" applyFont="1" applyBorder="1" applyAlignment="1">
      <alignment horizontal="right"/>
    </xf>
    <xf numFmtId="186" fontId="25" fillId="0" borderId="0" xfId="1" applyNumberFormat="1" applyFont="1" applyAlignment="1">
      <alignment horizontal="right"/>
    </xf>
    <xf numFmtId="0" fontId="24" fillId="0" borderId="0" xfId="0" applyFont="1" applyAlignment="1">
      <alignment horizontal="right" vertical="center"/>
    </xf>
    <xf numFmtId="0" fontId="24" fillId="0" borderId="1" xfId="0" applyFont="1" applyBorder="1" applyAlignment="1">
      <alignment horizontal="right" vertical="center" wrapText="1"/>
    </xf>
    <xf numFmtId="0" fontId="24" fillId="0" borderId="1" xfId="0" applyFont="1" applyBorder="1" applyAlignment="1">
      <alignment horizontal="right" vertical="center"/>
    </xf>
    <xf numFmtId="0" fontId="25" fillId="0" borderId="1" xfId="0" applyFont="1" applyBorder="1" applyAlignment="1">
      <alignment horizontal="right" vertical="center"/>
    </xf>
    <xf numFmtId="0" fontId="25" fillId="0" borderId="0" xfId="0" applyFont="1" applyAlignment="1">
      <alignment horizontal="right"/>
    </xf>
    <xf numFmtId="0" fontId="11" fillId="0" borderId="1" xfId="2" applyFont="1" applyBorder="1" applyAlignment="1">
      <alignment vertical="center" wrapText="1"/>
    </xf>
    <xf numFmtId="0" fontId="4" fillId="0" borderId="1" xfId="2" applyFont="1" applyBorder="1" applyAlignment="1">
      <alignment vertical="center" wrapText="1"/>
    </xf>
    <xf numFmtId="186" fontId="24" fillId="0" borderId="1" xfId="0" applyNumberFormat="1" applyFont="1" applyBorder="1" applyAlignment="1">
      <alignment horizontal="right"/>
    </xf>
    <xf numFmtId="0" fontId="25" fillId="0" borderId="1" xfId="0" applyFont="1" applyBorder="1" applyAlignment="1">
      <alignment horizontal="left" vertical="center" wrapText="1"/>
    </xf>
    <xf numFmtId="0" fontId="25" fillId="0" borderId="0" xfId="0" applyFont="1" applyAlignment="1">
      <alignment horizontal="center"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5" fillId="0" borderId="1" xfId="0" applyFont="1" applyFill="1" applyBorder="1" applyAlignment="1">
      <alignment horizontal="center" vertical="center"/>
    </xf>
    <xf numFmtId="0" fontId="25" fillId="0" borderId="1" xfId="0" applyFont="1" applyFill="1" applyBorder="1" applyAlignment="1">
      <alignment horizontal="left" vertical="center"/>
    </xf>
    <xf numFmtId="0" fontId="25" fillId="0" borderId="1" xfId="0" quotePrefix="1" applyFont="1" applyFill="1" applyBorder="1" applyAlignment="1">
      <alignment horizontal="center" vertical="center"/>
    </xf>
    <xf numFmtId="186" fontId="4" fillId="0" borderId="1" xfId="1" applyNumberFormat="1" applyFont="1" applyFill="1" applyBorder="1" applyAlignment="1">
      <alignment vertical="center" wrapText="1"/>
    </xf>
    <xf numFmtId="0" fontId="25" fillId="0" borderId="1" xfId="0" applyFont="1" applyFill="1" applyBorder="1"/>
    <xf numFmtId="216" fontId="4" fillId="0" borderId="1" xfId="4" applyNumberFormat="1" applyFont="1" applyFill="1" applyBorder="1" applyAlignment="1">
      <alignment vertical="center" wrapText="1"/>
    </xf>
    <xf numFmtId="0" fontId="25" fillId="0" borderId="1" xfId="0" applyFont="1" applyFill="1" applyBorder="1" applyAlignment="1">
      <alignment horizontal="center"/>
    </xf>
    <xf numFmtId="0" fontId="26" fillId="0" borderId="1" xfId="0" applyFont="1" applyFill="1" applyBorder="1"/>
    <xf numFmtId="216" fontId="5" fillId="0" borderId="1" xfId="4" applyNumberFormat="1" applyFont="1" applyFill="1" applyBorder="1" applyAlignment="1">
      <alignment vertical="center" wrapText="1"/>
    </xf>
    <xf numFmtId="186" fontId="25" fillId="0" borderId="1" xfId="0" applyNumberFormat="1" applyFont="1" applyFill="1" applyBorder="1"/>
    <xf numFmtId="0" fontId="26" fillId="0" borderId="1" xfId="0" applyFont="1" applyFill="1" applyBorder="1" applyAlignment="1">
      <alignment horizontal="center"/>
    </xf>
    <xf numFmtId="0" fontId="25" fillId="0" borderId="1" xfId="0" applyFont="1" applyFill="1" applyBorder="1" applyAlignment="1">
      <alignment wrapText="1"/>
    </xf>
    <xf numFmtId="0" fontId="3" fillId="0" borderId="0" xfId="0" applyFont="1"/>
    <xf numFmtId="216" fontId="4" fillId="0" borderId="1" xfId="4" applyNumberFormat="1" applyFont="1" applyBorder="1" applyAlignment="1">
      <alignment vertical="center" wrapText="1"/>
    </xf>
    <xf numFmtId="186" fontId="24" fillId="0" borderId="1" xfId="1" applyNumberFormat="1" applyFont="1" applyFill="1" applyBorder="1" applyAlignment="1">
      <alignment horizontal="center" vertical="center" wrapText="1"/>
    </xf>
    <xf numFmtId="0" fontId="25" fillId="0" borderId="1" xfId="0" applyFont="1" applyFill="1" applyBorder="1" applyAlignment="1">
      <alignment horizontal="right" vertical="center"/>
    </xf>
    <xf numFmtId="0" fontId="24" fillId="0" borderId="1" xfId="0" applyFont="1" applyFill="1" applyBorder="1" applyAlignment="1">
      <alignment horizontal="center" vertical="center" wrapText="1"/>
    </xf>
    <xf numFmtId="0" fontId="23" fillId="0" borderId="0" xfId="0" applyFont="1" applyFill="1"/>
    <xf numFmtId="0" fontId="25" fillId="0" borderId="0" xfId="0" applyFont="1" applyFill="1"/>
    <xf numFmtId="0" fontId="23" fillId="0" borderId="0" xfId="0" applyFont="1" applyAlignment="1">
      <alignment horizontal="center"/>
    </xf>
    <xf numFmtId="0" fontId="4" fillId="0" borderId="1" xfId="5" applyFont="1" applyBorder="1" applyAlignment="1">
      <alignment vertical="center" wrapText="1"/>
    </xf>
    <xf numFmtId="0" fontId="4" fillId="0" borderId="1" xfId="0" quotePrefix="1" applyFont="1" applyBorder="1" applyAlignment="1">
      <alignment horizontal="center"/>
    </xf>
    <xf numFmtId="0" fontId="26" fillId="0" borderId="2" xfId="0" applyFont="1" applyBorder="1" applyAlignment="1">
      <alignment horizontal="center" vertical="center"/>
    </xf>
    <xf numFmtId="0" fontId="5" fillId="0" borderId="2" xfId="5" applyFont="1" applyBorder="1" applyAlignment="1">
      <alignment vertical="center" wrapText="1"/>
    </xf>
    <xf numFmtId="0" fontId="26" fillId="0" borderId="2" xfId="0" applyFont="1" applyBorder="1" applyAlignment="1">
      <alignment horizontal="right" vertical="center"/>
    </xf>
    <xf numFmtId="186" fontId="26" fillId="0" borderId="2" xfId="1" applyNumberFormat="1" applyFont="1" applyBorder="1" applyAlignment="1">
      <alignment horizontal="right" vertical="center"/>
    </xf>
    <xf numFmtId="0" fontId="5" fillId="0" borderId="0" xfId="5" applyFont="1" applyBorder="1" applyAlignment="1">
      <alignment vertical="center" wrapText="1"/>
    </xf>
    <xf numFmtId="186" fontId="5" fillId="0" borderId="1" xfId="1" applyNumberFormat="1" applyFont="1" applyBorder="1" applyAlignment="1">
      <alignment vertical="center" wrapText="1"/>
    </xf>
    <xf numFmtId="186" fontId="29" fillId="0" borderId="1" xfId="1" applyNumberFormat="1" applyFont="1" applyBorder="1" applyAlignment="1">
      <alignment horizontal="right" vertical="center"/>
    </xf>
    <xf numFmtId="216" fontId="11" fillId="0" borderId="1" xfId="4" applyNumberFormat="1" applyFont="1" applyBorder="1" applyAlignment="1">
      <alignment horizontal="center" vertical="center" wrapText="1"/>
    </xf>
    <xf numFmtId="216" fontId="11" fillId="0" borderId="1" xfId="4" applyNumberFormat="1" applyFont="1" applyBorder="1" applyAlignment="1">
      <alignment horizontal="left" vertical="center" wrapText="1"/>
    </xf>
    <xf numFmtId="216" fontId="4" fillId="0" borderId="1" xfId="4" applyNumberFormat="1" applyFont="1" applyBorder="1" applyAlignment="1">
      <alignment horizontal="center" vertical="center" wrapText="1"/>
    </xf>
    <xf numFmtId="216" fontId="4" fillId="0" borderId="1" xfId="4" applyNumberFormat="1" applyFont="1" applyBorder="1" applyAlignment="1">
      <alignment horizontal="left" vertical="center" wrapText="1"/>
    </xf>
    <xf numFmtId="216" fontId="4" fillId="0" borderId="1" xfId="4" applyNumberFormat="1" applyFont="1" applyBorder="1" applyAlignment="1">
      <alignment horizontal="right" vertical="center" wrapText="1"/>
    </xf>
    <xf numFmtId="216" fontId="11" fillId="0" borderId="1" xfId="4" applyNumberFormat="1" applyFont="1" applyBorder="1" applyAlignment="1">
      <alignment horizontal="right" vertical="center" wrapText="1"/>
    </xf>
    <xf numFmtId="0" fontId="5" fillId="0" borderId="1" xfId="0" applyFont="1" applyFill="1" applyBorder="1" applyAlignment="1">
      <alignment horizontal="left" vertical="center" wrapText="1"/>
    </xf>
    <xf numFmtId="0" fontId="10" fillId="0" borderId="0" xfId="0" applyFont="1"/>
    <xf numFmtId="186" fontId="4" fillId="0" borderId="0" xfId="0" applyNumberFormat="1" applyFont="1" applyFill="1" applyAlignment="1">
      <alignment vertical="center"/>
    </xf>
    <xf numFmtId="0" fontId="11" fillId="0" borderId="1" xfId="0" applyFont="1" applyFill="1" applyBorder="1" applyAlignment="1">
      <alignment vertical="center" wrapText="1"/>
    </xf>
    <xf numFmtId="186" fontId="11" fillId="0" borderId="0" xfId="0" applyNumberFormat="1" applyFont="1" applyFill="1" applyAlignment="1">
      <alignment vertical="center"/>
    </xf>
    <xf numFmtId="0" fontId="5" fillId="0" borderId="1" xfId="0" applyFont="1" applyFill="1" applyBorder="1" applyAlignment="1">
      <alignment vertical="center"/>
    </xf>
    <xf numFmtId="0" fontId="5" fillId="0" borderId="0" xfId="0" applyFont="1" applyFill="1" applyAlignment="1">
      <alignment vertical="center"/>
    </xf>
    <xf numFmtId="0" fontId="4" fillId="0" borderId="0" xfId="0" applyFont="1" applyFill="1" applyAlignment="1">
      <alignment horizontal="center" vertical="center"/>
    </xf>
    <xf numFmtId="186" fontId="5" fillId="0" borderId="0" xfId="0" applyNumberFormat="1" applyFont="1" applyFill="1" applyAlignment="1">
      <alignment vertical="center"/>
    </xf>
    <xf numFmtId="0" fontId="5" fillId="0" borderId="0" xfId="0" applyFont="1" applyAlignment="1">
      <alignment vertical="center"/>
    </xf>
    <xf numFmtId="0" fontId="26" fillId="0" borderId="0" xfId="0" applyFont="1" applyAlignment="1">
      <alignment vertical="center"/>
    </xf>
    <xf numFmtId="0" fontId="25" fillId="0" borderId="1" xfId="0" applyFont="1" applyBorder="1" applyAlignment="1">
      <alignment vertical="center"/>
    </xf>
    <xf numFmtId="0" fontId="24" fillId="0" borderId="1" xfId="0" applyFont="1" applyBorder="1" applyAlignment="1">
      <alignment vertical="center" wrapText="1"/>
    </xf>
    <xf numFmtId="0" fontId="26" fillId="0" borderId="1" xfId="0" applyFont="1" applyBorder="1" applyAlignment="1">
      <alignment vertical="center" wrapText="1"/>
    </xf>
    <xf numFmtId="186" fontId="25" fillId="0" borderId="0" xfId="1" applyNumberFormat="1" applyFont="1" applyAlignment="1">
      <alignment vertical="center"/>
    </xf>
    <xf numFmtId="0" fontId="25" fillId="0" borderId="1" xfId="0" applyFont="1" applyBorder="1" applyAlignment="1">
      <alignment vertical="center" wrapText="1"/>
    </xf>
    <xf numFmtId="0" fontId="26" fillId="0" borderId="1" xfId="0" applyFont="1" applyBorder="1" applyAlignment="1">
      <alignment vertical="center"/>
    </xf>
    <xf numFmtId="186" fontId="24" fillId="0" borderId="1" xfId="0" applyNumberFormat="1" applyFont="1" applyBorder="1" applyAlignment="1">
      <alignment horizontal="right" vertical="center"/>
    </xf>
    <xf numFmtId="0" fontId="25" fillId="4" borderId="1" xfId="0" applyFont="1" applyFill="1" applyBorder="1" applyAlignment="1">
      <alignment horizontal="center"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center" vertical="center"/>
    </xf>
    <xf numFmtId="186" fontId="26" fillId="4" borderId="1" xfId="1" applyNumberFormat="1" applyFont="1" applyFill="1" applyBorder="1" applyAlignment="1">
      <alignment horizontal="right" vertical="center"/>
    </xf>
    <xf numFmtId="0" fontId="25" fillId="4" borderId="0" xfId="0" applyFont="1" applyFill="1"/>
    <xf numFmtId="186" fontId="24" fillId="0" borderId="1" xfId="1" applyNumberFormat="1" applyFont="1" applyBorder="1" applyAlignment="1">
      <alignment vertical="center"/>
    </xf>
    <xf numFmtId="186" fontId="25" fillId="0" borderId="1" xfId="1" applyNumberFormat="1" applyFont="1" applyBorder="1" applyAlignment="1">
      <alignment vertical="center"/>
    </xf>
    <xf numFmtId="217" fontId="4" fillId="0" borderId="1" xfId="0" applyNumberFormat="1" applyFont="1" applyFill="1" applyBorder="1" applyAlignment="1">
      <alignment horizontal="center" vertical="center"/>
    </xf>
    <xf numFmtId="217" fontId="4" fillId="0" borderId="1" xfId="0" applyNumberFormat="1" applyFont="1" applyFill="1" applyBorder="1" applyAlignment="1">
      <alignment vertical="center"/>
    </xf>
    <xf numFmtId="218" fontId="26" fillId="0" borderId="1" xfId="0" applyNumberFormat="1" applyFont="1" applyBorder="1" applyAlignment="1">
      <alignment vertical="center"/>
    </xf>
    <xf numFmtId="218" fontId="26" fillId="0" borderId="1" xfId="0" applyNumberFormat="1" applyFont="1" applyBorder="1" applyAlignment="1">
      <alignment horizontal="left" vertical="center" wrapText="1"/>
    </xf>
    <xf numFmtId="219" fontId="25" fillId="0" borderId="1" xfId="0" applyNumberFormat="1" applyFont="1" applyBorder="1" applyAlignment="1">
      <alignment horizontal="center" vertical="center"/>
    </xf>
    <xf numFmtId="217" fontId="26" fillId="4" borderId="1" xfId="0" applyNumberFormat="1" applyFont="1" applyFill="1" applyBorder="1" applyAlignment="1">
      <alignment horizontal="center" vertical="center"/>
    </xf>
    <xf numFmtId="217" fontId="25" fillId="0" borderId="1" xfId="0" quotePrefix="1" applyNumberFormat="1" applyFont="1" applyBorder="1" applyAlignment="1">
      <alignment horizontal="center" vertical="center"/>
    </xf>
    <xf numFmtId="186" fontId="25" fillId="0" borderId="0" xfId="0" applyNumberFormat="1" applyFont="1" applyAlignment="1">
      <alignment vertical="center"/>
    </xf>
    <xf numFmtId="0" fontId="25" fillId="0" borderId="1" xfId="0" applyFont="1" applyFill="1" applyBorder="1" applyAlignment="1">
      <alignment vertical="center"/>
    </xf>
    <xf numFmtId="186" fontId="25" fillId="0" borderId="1" xfId="0" applyNumberFormat="1" applyFont="1" applyFill="1" applyBorder="1" applyAlignment="1">
      <alignment vertical="center"/>
    </xf>
    <xf numFmtId="186" fontId="23" fillId="0" borderId="0" xfId="0" applyNumberFormat="1" applyFont="1" applyAlignment="1">
      <alignment vertical="center"/>
    </xf>
    <xf numFmtId="0" fontId="26" fillId="0" borderId="1" xfId="0" applyFont="1" applyFill="1" applyBorder="1" applyAlignment="1">
      <alignment horizontal="center" vertical="center"/>
    </xf>
    <xf numFmtId="0" fontId="26" fillId="0" borderId="1" xfId="0" applyFont="1" applyFill="1" applyBorder="1" applyAlignment="1">
      <alignment vertical="center"/>
    </xf>
    <xf numFmtId="186" fontId="26" fillId="0" borderId="1" xfId="1" applyNumberFormat="1" applyFont="1" applyFill="1" applyBorder="1" applyAlignment="1">
      <alignment vertical="center"/>
    </xf>
    <xf numFmtId="0" fontId="27" fillId="0" borderId="0" xfId="0" applyFont="1" applyAlignment="1">
      <alignment vertical="center"/>
    </xf>
    <xf numFmtId="186" fontId="25" fillId="0" borderId="1" xfId="1" applyNumberFormat="1" applyFont="1" applyFill="1" applyBorder="1" applyAlignment="1">
      <alignment vertical="center"/>
    </xf>
    <xf numFmtId="0" fontId="5" fillId="4" borderId="1" xfId="0" applyFont="1" applyFill="1" applyBorder="1" applyAlignment="1">
      <alignment horizontal="center" vertical="center"/>
    </xf>
    <xf numFmtId="0" fontId="13" fillId="4" borderId="1" xfId="2" applyFont="1" applyFill="1" applyBorder="1" applyAlignment="1">
      <alignment vertical="center" wrapText="1"/>
    </xf>
    <xf numFmtId="0" fontId="5" fillId="4" borderId="1" xfId="0" applyFont="1" applyFill="1" applyBorder="1" applyAlignment="1">
      <alignment vertical="center"/>
    </xf>
    <xf numFmtId="186" fontId="5" fillId="4" borderId="1" xfId="1" applyNumberFormat="1" applyFont="1" applyFill="1" applyBorder="1" applyAlignment="1">
      <alignment horizontal="right" vertical="center" wrapText="1"/>
    </xf>
    <xf numFmtId="0" fontId="5" fillId="4" borderId="0" xfId="0" applyFont="1" applyFill="1" applyAlignment="1">
      <alignment vertical="center"/>
    </xf>
    <xf numFmtId="186" fontId="5" fillId="4" borderId="0" xfId="0" applyNumberFormat="1" applyFont="1" applyFill="1" applyAlignment="1">
      <alignment vertical="center"/>
    </xf>
    <xf numFmtId="0" fontId="4" fillId="0" borderId="1" xfId="0" applyFont="1" applyBorder="1" applyAlignment="1">
      <alignment vertical="center"/>
    </xf>
    <xf numFmtId="218" fontId="30" fillId="0" borderId="1" xfId="1" applyNumberFormat="1" applyFont="1" applyFill="1" applyBorder="1" applyAlignment="1">
      <alignment horizontal="right" vertical="center"/>
    </xf>
    <xf numFmtId="0" fontId="5" fillId="0" borderId="1" xfId="0" quotePrefix="1" applyFont="1" applyBorder="1" applyAlignment="1">
      <alignment horizontal="center"/>
    </xf>
    <xf numFmtId="0" fontId="5" fillId="0" borderId="1" xfId="0" quotePrefix="1" applyFont="1" applyBorder="1" applyAlignment="1">
      <alignment horizontal="center" vertical="center"/>
    </xf>
    <xf numFmtId="0" fontId="24" fillId="0" borderId="0" xfId="0" applyFont="1" applyAlignment="1">
      <alignment horizontal="center" vertical="center" wrapText="1"/>
    </xf>
    <xf numFmtId="0" fontId="24" fillId="0" borderId="0" xfId="0" applyFont="1" applyAlignment="1">
      <alignment horizontal="center" vertical="center"/>
    </xf>
    <xf numFmtId="0" fontId="26" fillId="0" borderId="0" xfId="0" applyFont="1" applyAlignment="1">
      <alignment horizontal="center" vertical="center"/>
    </xf>
    <xf numFmtId="0" fontId="26" fillId="0" borderId="3" xfId="0" applyFont="1" applyBorder="1" applyAlignment="1">
      <alignment horizontal="center" vertical="center"/>
    </xf>
    <xf numFmtId="0" fontId="31" fillId="0" borderId="0" xfId="0" applyFont="1" applyAlignment="1">
      <alignment horizontal="center" vertical="center" wrapText="1"/>
    </xf>
    <xf numFmtId="0" fontId="31" fillId="0" borderId="0" xfId="0" applyFont="1" applyAlignment="1">
      <alignment horizontal="center" vertical="center"/>
    </xf>
    <xf numFmtId="0" fontId="5" fillId="0" borderId="0" xfId="0" applyFont="1" applyAlignment="1">
      <alignment horizontal="left"/>
    </xf>
    <xf numFmtId="0" fontId="4" fillId="0" borderId="0" xfId="0" applyFont="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left"/>
    </xf>
    <xf numFmtId="0" fontId="11" fillId="0" borderId="0" xfId="0" applyFont="1" applyAlignment="1">
      <alignment horizontal="center" vertical="center" wrapText="1"/>
    </xf>
    <xf numFmtId="0" fontId="11" fillId="0" borderId="0" xfId="0" applyFont="1" applyAlignment="1">
      <alignment horizontal="center" vertical="center"/>
    </xf>
    <xf numFmtId="0" fontId="5" fillId="0" borderId="0" xfId="0" applyFont="1" applyAlignment="1">
      <alignment horizontal="center" vertical="center"/>
    </xf>
    <xf numFmtId="0" fontId="5" fillId="0" borderId="3" xfId="0" applyFont="1" applyBorder="1" applyAlignment="1">
      <alignment horizontal="center" vertical="center"/>
    </xf>
    <xf numFmtId="0" fontId="15" fillId="0" borderId="0" xfId="0" applyFont="1" applyAlignment="1">
      <alignment horizontal="left"/>
    </xf>
    <xf numFmtId="0" fontId="4" fillId="0" borderId="0" xfId="0" applyFont="1" applyFill="1" applyAlignment="1">
      <alignment horizontal="center"/>
    </xf>
    <xf numFmtId="0" fontId="11" fillId="0" borderId="0" xfId="0" applyFont="1" applyFill="1" applyAlignment="1">
      <alignment horizontal="center" vertical="center" wrapText="1"/>
    </xf>
    <xf numFmtId="0" fontId="11" fillId="0" borderId="0" xfId="0"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Border="1" applyAlignment="1">
      <alignment horizontal="center" vertical="center"/>
    </xf>
    <xf numFmtId="0" fontId="11" fillId="0" borderId="1" xfId="0" applyFont="1" applyFill="1" applyBorder="1" applyAlignment="1">
      <alignment horizontal="center" vertical="center" wrapText="1"/>
    </xf>
    <xf numFmtId="186" fontId="11" fillId="0" borderId="2" xfId="1" applyNumberFormat="1" applyFont="1" applyFill="1" applyBorder="1" applyAlignment="1">
      <alignment horizontal="center" vertical="center" wrapText="1"/>
    </xf>
    <xf numFmtId="186" fontId="11" fillId="0" borderId="4" xfId="1" applyNumberFormat="1" applyFont="1" applyFill="1" applyBorder="1" applyAlignment="1">
      <alignment horizontal="center" vertical="center" wrapText="1"/>
    </xf>
    <xf numFmtId="186" fontId="11" fillId="0" borderId="5" xfId="1" applyNumberFormat="1" applyFont="1" applyFill="1" applyBorder="1" applyAlignment="1">
      <alignment horizontal="center" vertical="center" wrapText="1"/>
    </xf>
    <xf numFmtId="0" fontId="20" fillId="0" borderId="0" xfId="0" applyFont="1" applyAlignment="1">
      <alignment horizontal="center"/>
    </xf>
  </cellXfs>
  <cellStyles count="7">
    <cellStyle name="Comma" xfId="1" builtinId="3"/>
    <cellStyle name="Normal" xfId="0" builtinId="0"/>
    <cellStyle name="Normal 11 2" xfId="2"/>
    <cellStyle name="Normal 2" xfId="3"/>
    <cellStyle name="Normal 2 2 3" xfId="4"/>
    <cellStyle name="Normal 59" xfId="5"/>
    <cellStyle name="Normal_Phan bo CTMT QG GNBV 2017"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externalLink" Target="externalLinks/externalLink9.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externalLink" Target="externalLinks/externalLink12.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H\AppData\Local\Temp\Zalo%20Temp\TempDownloads\Bang%20luong%20T06.2025_MN%20Hu&#7893;i%20L&#232;ng.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HH\AppData\Local\Temp\Zalo%20Temp\TempDownloads\v&#259;n%20ph&#242;ng%20H&#272;ND-UBN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HH\AppData\Local\Temp\Zalo%20Temp\TempDownloads\TRung%20t&#226;m%20DVTH.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2025%20(x&#227;%20M&#432;&#7901;ng%20T&#249;ng)\d&#7921;%20to&#225;n%20t&#7841;m%20c&#7845;p\v&#259;n%20ph&#242;ng%20H&#272;ND-UBND.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2025%20(x&#227;%20M&#432;&#7901;ng%20T&#249;ng)\d&#7921;%20to&#225;n%20t&#7841;m%20c&#7845;p\Ti&#7875;u%20h&#7885;c%20v&#224;%20THCS%20x&#227;%20M&#432;&#7901;ng%20T&#249;n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H\AppData\Local\Temp\Zalo%20Temp\TempDownloads\UBND%20Xa%20Muong%20Tung%202025%20(M&#7899;i)%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HH\AppData\Local\Temp\Zalo%20Temp\TempDownloads\M&#7847;m%20non%20M&#432;&#7901;ng%20t&#249;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HH\AppData\Local\Temp\Zalo%20Temp\TempDownloads\Ti&#7875;u%20h&#7885;c%20Hu&#7893;i%20L&#232;ng.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HH\AppData\Local\Temp\Zalo%20Temp\TempDownloads\Ti&#7875;u%20h&#7885;c%20N&#7853;m%20H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HH\AppData\Local\Temp\Zalo%20Temp\TempDownloads\THCS%20Hu&#7893;i%20L&#232;ng.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HH\AppData\Local\Temp\Zalo%20Temp\TempDownloads\Ti&#7875;u%20h&#7885;c%20v&#224;%20THCS%20x&#227;%20M&#432;&#7901;ng%20T&#249;ng.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HH\AppData\Local\Temp\Zalo%20Temp\TempDownloads\B&#7843;ng%20l&#432;&#417;ng%20&#273;&#7843;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HH\AppData\Local\Temp\Zalo%20Temp\TempDownloads\&#272;o&#224;n%20th&#78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ngatang"/>
      <sheetName val="T06.2025.MNHL"/>
      <sheetName val="Hợp đồng 111"/>
    </sheetNames>
    <sheetDataSet>
      <sheetData sheetId="0" refreshError="1"/>
      <sheetData sheetId="1">
        <row r="59">
          <cell r="T59">
            <v>614</v>
          </cell>
        </row>
      </sheetData>
      <sheetData sheetId="2">
        <row r="6">
          <cell r="E6">
            <v>8.3834999999999997</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ẢNG LƯƠNG 25"/>
    </sheetNames>
    <sheetDataSet>
      <sheetData sheetId="0">
        <row r="10">
          <cell r="U10">
            <v>548061930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ẢNG LƯƠNG 25"/>
    </sheetNames>
    <sheetDataSet>
      <sheetData sheetId="0">
        <row r="10">
          <cell r="U10">
            <v>39281334.300000004</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ẢNG LƯƠNG 25"/>
      <sheetName val="QĐ 33"/>
    </sheetNames>
    <sheetDataSet>
      <sheetData sheetId="0" refreshError="1">
        <row r="10">
          <cell r="U10">
            <v>245.39299199999999</v>
          </cell>
        </row>
        <row r="27">
          <cell r="U27">
            <v>99.072089999999989</v>
          </cell>
        </row>
        <row r="35">
          <cell r="U35">
            <v>105.288534</v>
          </cell>
        </row>
        <row r="43">
          <cell r="U43">
            <v>98.308313999999996</v>
          </cell>
        </row>
      </sheetData>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ngatang"/>
      <sheetName val="T6 072"/>
      <sheetName val="T6 073"/>
      <sheetName val="HD 111"/>
      <sheetName val="Sheet1"/>
    </sheetNames>
    <sheetDataSet>
      <sheetData sheetId="0" refreshError="1"/>
      <sheetData sheetId="1">
        <row r="29">
          <cell r="T29">
            <v>231.88781888999995</v>
          </cell>
        </row>
      </sheetData>
      <sheetData sheetId="2">
        <row r="51">
          <cell r="T51">
            <v>694</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xz"/>
      <sheetName val="Kangatang"/>
      <sheetName val="Lương CBCC"/>
      <sheetName val="TH (2)"/>
      <sheetName val="Lương - 1,49"/>
      <sheetName val="QĐ 33  - 1,49"/>
      <sheetName val="Chi hoạt động-03"/>
      <sheetName val="HDND-03a"/>
      <sheetName val="Đảng 99-03b"/>
      <sheetName val="Quốc phòng  - 1,49"/>
      <sheetName val="HD 111"/>
      <sheetName val="An ninh"/>
      <sheetName val="ĐBXH - 1,49"/>
      <sheetName val="VH-TT-07"/>
      <sheetName val="Thú Y KN - 1,49"/>
      <sheetName val="Lương -CCTL"/>
      <sheetName val="QĐ 33 -CCTL"/>
      <sheetName val="Quốc phòng -CCTL"/>
      <sheetName val="ĐBXH-Huu -CCTL"/>
      <sheetName val="Thú Y KN -CCTL"/>
    </sheetNames>
    <sheetDataSet>
      <sheetData sheetId="0" refreshError="1"/>
      <sheetData sheetId="1" refreshError="1"/>
      <sheetData sheetId="2" refreshError="1"/>
      <sheetData sheetId="3" refreshError="1"/>
      <sheetData sheetId="4" refreshError="1"/>
      <sheetData sheetId="5" refreshError="1">
        <row r="17">
          <cell r="M17">
            <v>332</v>
          </cell>
        </row>
      </sheetData>
      <sheetData sheetId="6" refreshError="1"/>
      <sheetData sheetId="7" refreshError="1"/>
      <sheetData sheetId="8" refreshError="1"/>
      <sheetData sheetId="9" refreshError="1">
        <row r="9">
          <cell r="M9">
            <v>29</v>
          </cell>
        </row>
      </sheetData>
      <sheetData sheetId="10" refreshError="1">
        <row r="10">
          <cell r="R10">
            <v>26.549720999999995</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ngatang"/>
      <sheetName val="LƯƠNG T1"/>
      <sheetName val="HD 111"/>
    </sheetNames>
    <sheetDataSet>
      <sheetData sheetId="0" refreshError="1"/>
      <sheetData sheetId="1">
        <row r="68">
          <cell r="T68">
            <v>863</v>
          </cell>
        </row>
      </sheetData>
      <sheetData sheetId="2">
        <row r="3">
          <cell r="F3">
            <v>4.1917499999999999</v>
          </cell>
        </row>
        <row r="4">
          <cell r="F4">
            <v>4.1917499999999999</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ngatang"/>
      <sheetName val="t1-2024"/>
      <sheetName val="HD 111"/>
    </sheetNames>
    <sheetDataSet>
      <sheetData sheetId="0" refreshError="1"/>
      <sheetData sheetId="1">
        <row r="46">
          <cell r="Y46">
            <v>816.4</v>
          </cell>
        </row>
      </sheetData>
      <sheetData sheetId="2">
        <row r="6">
          <cell r="E6">
            <v>4.1917499999999999</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ngatang"/>
      <sheetName val="Tháng 4.2025   "/>
      <sheetName val="HĐ 11"/>
    </sheetNames>
    <sheetDataSet>
      <sheetData sheetId="0" refreshError="1"/>
      <sheetData sheetId="1">
        <row r="53">
          <cell r="T53">
            <v>632</v>
          </cell>
        </row>
      </sheetData>
      <sheetData sheetId="2">
        <row r="3">
          <cell r="F3">
            <v>4.1917499999999999</v>
          </cell>
        </row>
        <row r="4">
          <cell r="F4">
            <v>4.1917499999999999</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ngatang"/>
      <sheetName val="6-2025"/>
      <sheetName val="HD111"/>
    </sheetNames>
    <sheetDataSet>
      <sheetData sheetId="0" refreshError="1"/>
      <sheetData sheetId="1">
        <row r="43">
          <cell r="W43">
            <v>624</v>
          </cell>
        </row>
      </sheetData>
      <sheetData sheetId="2">
        <row r="2">
          <cell r="E2">
            <v>4.1917499999999999</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ngatang"/>
      <sheetName val="T6 072"/>
      <sheetName val="T6 073"/>
      <sheetName val="HD 111"/>
      <sheetName val="Sheet1"/>
    </sheetNames>
    <sheetDataSet>
      <sheetData sheetId="0" refreshError="1"/>
      <sheetData sheetId="1" refreshError="1">
        <row r="29">
          <cell r="T29">
            <v>231.88781888999995</v>
          </cell>
        </row>
      </sheetData>
      <sheetData sheetId="2" refreshError="1">
        <row r="51">
          <cell r="T51">
            <v>694</v>
          </cell>
        </row>
      </sheetData>
      <sheetData sheetId="3" refreshError="1">
        <row r="4">
          <cell r="F4">
            <v>4.1917499999999999</v>
          </cell>
        </row>
        <row r="5">
          <cell r="F5">
            <v>4.1917499999999999</v>
          </cell>
        </row>
      </sheetData>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ẢNG LƯƠNG 25 (2)"/>
      <sheetName val="BẢNG LƯƠNG 25"/>
    </sheetNames>
    <sheetDataSet>
      <sheetData sheetId="0">
        <row r="10">
          <cell r="R10">
            <v>315916497</v>
          </cell>
        </row>
      </sheetData>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ẢNG LƯƠNG 25 (2)"/>
      <sheetName val="BẢNG LƯƠNG 25"/>
    </sheetNames>
    <sheetDataSet>
      <sheetData sheetId="0">
        <row r="10">
          <cell r="R10">
            <v>153442692</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G16"/>
  <sheetViews>
    <sheetView workbookViewId="0">
      <selection sqref="A1:G1"/>
    </sheetView>
  </sheetViews>
  <sheetFormatPr defaultRowHeight="18.75" x14ac:dyDescent="0.3"/>
  <cols>
    <col min="1" max="1" width="5.42578125" style="56" customWidth="1"/>
    <col min="2" max="2" width="36.140625" style="56" customWidth="1"/>
    <col min="3" max="3" width="9.140625" style="56"/>
    <col min="4" max="4" width="8" style="56" customWidth="1"/>
    <col min="5" max="5" width="9.140625" style="56"/>
    <col min="6" max="6" width="8.28515625" style="56" customWidth="1"/>
    <col min="7" max="7" width="15.28515625" style="84" customWidth="1"/>
    <col min="8" max="16384" width="9.140625" style="56"/>
  </cols>
  <sheetData>
    <row r="1" spans="1:7" s="55" customFormat="1" ht="40.15" customHeight="1" x14ac:dyDescent="0.25">
      <c r="A1" s="297" t="s">
        <v>123</v>
      </c>
      <c r="B1" s="298"/>
      <c r="C1" s="298"/>
      <c r="D1" s="298"/>
      <c r="E1" s="298"/>
      <c r="F1" s="298"/>
      <c r="G1" s="298"/>
    </row>
    <row r="2" spans="1:7" s="64" customFormat="1" ht="24" customHeight="1" x14ac:dyDescent="0.25">
      <c r="A2" s="299" t="s">
        <v>296</v>
      </c>
      <c r="B2" s="299"/>
      <c r="C2" s="299"/>
      <c r="D2" s="299"/>
      <c r="E2" s="299"/>
      <c r="F2" s="299"/>
      <c r="G2" s="299"/>
    </row>
    <row r="3" spans="1:7" s="65" customFormat="1" ht="24" customHeight="1" x14ac:dyDescent="0.25">
      <c r="A3" s="65" t="s">
        <v>212</v>
      </c>
      <c r="F3" s="300" t="s">
        <v>93</v>
      </c>
      <c r="G3" s="300"/>
    </row>
    <row r="4" spans="1:7" s="58" customFormat="1" ht="73.5" customHeight="1" x14ac:dyDescent="0.25">
      <c r="A4" s="116" t="s">
        <v>2</v>
      </c>
      <c r="B4" s="116" t="s">
        <v>3</v>
      </c>
      <c r="C4" s="116" t="s">
        <v>87</v>
      </c>
      <c r="D4" s="116" t="s">
        <v>88</v>
      </c>
      <c r="E4" s="116" t="s">
        <v>89</v>
      </c>
      <c r="F4" s="116" t="s">
        <v>90</v>
      </c>
      <c r="G4" s="75" t="s">
        <v>159</v>
      </c>
    </row>
    <row r="5" spans="1:7" s="58" customFormat="1" ht="21" customHeight="1" x14ac:dyDescent="0.25">
      <c r="A5" s="117"/>
      <c r="B5" s="97" t="s">
        <v>211</v>
      </c>
      <c r="C5" s="117"/>
      <c r="D5" s="117"/>
      <c r="E5" s="117"/>
      <c r="F5" s="117"/>
      <c r="G5" s="98">
        <f>+G6+G8+G9+G10+G13+G14</f>
        <v>1265000000</v>
      </c>
    </row>
    <row r="6" spans="1:7" s="61" customFormat="1" ht="35.25" customHeight="1" x14ac:dyDescent="0.25">
      <c r="A6" s="240">
        <v>1</v>
      </c>
      <c r="B6" s="241" t="s">
        <v>213</v>
      </c>
      <c r="C6" s="117"/>
      <c r="D6" s="117"/>
      <c r="E6" s="117"/>
      <c r="F6" s="117"/>
      <c r="G6" s="98">
        <f>+G7</f>
        <v>355000000</v>
      </c>
    </row>
    <row r="7" spans="1:7" s="58" customFormat="1" ht="30" customHeight="1" x14ac:dyDescent="0.25">
      <c r="A7" s="242"/>
      <c r="B7" s="243" t="s">
        <v>214</v>
      </c>
      <c r="C7" s="99"/>
      <c r="D7" s="99"/>
      <c r="E7" s="99"/>
      <c r="F7" s="99"/>
      <c r="G7" s="244">
        <v>355000000</v>
      </c>
    </row>
    <row r="8" spans="1:7" s="58" customFormat="1" ht="15.75" x14ac:dyDescent="0.25">
      <c r="A8" s="240">
        <v>2</v>
      </c>
      <c r="B8" s="241" t="s">
        <v>215</v>
      </c>
      <c r="C8" s="99"/>
      <c r="D8" s="99"/>
      <c r="E8" s="99"/>
      <c r="F8" s="102"/>
      <c r="G8" s="245">
        <v>430000000</v>
      </c>
    </row>
    <row r="9" spans="1:7" s="89" customFormat="1" x14ac:dyDescent="0.3">
      <c r="A9" s="240">
        <v>3</v>
      </c>
      <c r="B9" s="241" t="s">
        <v>216</v>
      </c>
      <c r="C9" s="103"/>
      <c r="D9" s="87"/>
      <c r="E9" s="103"/>
      <c r="F9" s="87"/>
      <c r="G9" s="245">
        <v>48000000</v>
      </c>
    </row>
    <row r="10" spans="1:7" s="89" customFormat="1" x14ac:dyDescent="0.3">
      <c r="A10" s="240">
        <v>4</v>
      </c>
      <c r="B10" s="241" t="s">
        <v>217</v>
      </c>
      <c r="C10" s="103"/>
      <c r="D10" s="87"/>
      <c r="E10" s="103"/>
      <c r="F10" s="87"/>
      <c r="G10" s="239">
        <f>+G11+G12</f>
        <v>217000000</v>
      </c>
    </row>
    <row r="11" spans="1:7" s="237" customFormat="1" ht="31.5" x14ac:dyDescent="0.25">
      <c r="A11" s="242"/>
      <c r="B11" s="243" t="s">
        <v>218</v>
      </c>
      <c r="C11" s="103"/>
      <c r="D11" s="87"/>
      <c r="E11" s="90"/>
      <c r="F11" s="90"/>
      <c r="G11" s="244">
        <v>72000000</v>
      </c>
    </row>
    <row r="12" spans="1:7" x14ac:dyDescent="0.3">
      <c r="A12" s="242"/>
      <c r="B12" s="243" t="s">
        <v>219</v>
      </c>
      <c r="C12" s="112"/>
      <c r="D12" s="112"/>
      <c r="E12" s="112"/>
      <c r="F12" s="112"/>
      <c r="G12" s="244">
        <v>145000000</v>
      </c>
    </row>
    <row r="13" spans="1:7" x14ac:dyDescent="0.3">
      <c r="A13" s="240">
        <v>5</v>
      </c>
      <c r="B13" s="241" t="s">
        <v>224</v>
      </c>
      <c r="C13" s="112"/>
      <c r="D13" s="112"/>
      <c r="E13" s="112"/>
      <c r="F13" s="112"/>
      <c r="G13" s="245">
        <v>30000000</v>
      </c>
    </row>
    <row r="14" spans="1:7" x14ac:dyDescent="0.3">
      <c r="A14" s="240">
        <v>6</v>
      </c>
      <c r="B14" s="241" t="s">
        <v>220</v>
      </c>
      <c r="C14" s="112"/>
      <c r="D14" s="112"/>
      <c r="E14" s="112"/>
      <c r="F14" s="112"/>
      <c r="G14" s="245">
        <f>+G15+G16</f>
        <v>185000000</v>
      </c>
    </row>
    <row r="15" spans="1:7" ht="31.5" x14ac:dyDescent="0.3">
      <c r="A15" s="242"/>
      <c r="B15" s="243" t="s">
        <v>221</v>
      </c>
      <c r="C15" s="112"/>
      <c r="D15" s="112"/>
      <c r="E15" s="112"/>
      <c r="F15" s="112"/>
      <c r="G15" s="244">
        <v>135000000</v>
      </c>
    </row>
    <row r="16" spans="1:7" ht="31.5" x14ac:dyDescent="0.3">
      <c r="A16" s="242"/>
      <c r="B16" s="243" t="s">
        <v>222</v>
      </c>
      <c r="C16" s="112"/>
      <c r="D16" s="112"/>
      <c r="E16" s="112"/>
      <c r="F16" s="112"/>
      <c r="G16" s="244">
        <v>50000000</v>
      </c>
    </row>
  </sheetData>
  <mergeCells count="3">
    <mergeCell ref="A1:G1"/>
    <mergeCell ref="A2:G2"/>
    <mergeCell ref="F3:G3"/>
  </mergeCell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K19"/>
  <sheetViews>
    <sheetView topLeftCell="A7" workbookViewId="0">
      <selection activeCell="F16" sqref="F16:F17"/>
    </sheetView>
  </sheetViews>
  <sheetFormatPr defaultRowHeight="18.75" x14ac:dyDescent="0.3"/>
  <cols>
    <col min="1" max="1" width="5.42578125" style="56" customWidth="1"/>
    <col min="2" max="2" width="36.140625" style="56" customWidth="1"/>
    <col min="3" max="3" width="9.140625" style="56"/>
    <col min="4" max="4" width="8" style="56" customWidth="1"/>
    <col min="5" max="5" width="9.140625" style="56"/>
    <col min="6" max="6" width="8.28515625" style="56" customWidth="1"/>
    <col min="7" max="7" width="15.7109375" style="56" customWidth="1"/>
    <col min="8" max="8" width="9.140625" style="56"/>
    <col min="9" max="9" width="16.85546875" style="56" bestFit="1" customWidth="1"/>
    <col min="10" max="10" width="18.7109375" style="56" customWidth="1"/>
    <col min="11" max="11" width="20" style="56" customWidth="1"/>
    <col min="12" max="16384" width="9.140625" style="56"/>
  </cols>
  <sheetData>
    <row r="1" spans="1:11" s="55" customFormat="1" ht="55.5" customHeight="1" x14ac:dyDescent="0.25">
      <c r="A1" s="301" t="str">
        <f>TTCT!A1</f>
        <v>BIỂU GIAO DỰ TOÁN KINH PHÍ NĂM 2025
 (THỜI GIAN THỰC HIỆN TỪ 01/7/2025 ĐẾN 31/12/2025)</v>
      </c>
      <c r="B1" s="302"/>
      <c r="C1" s="302"/>
      <c r="D1" s="302"/>
      <c r="E1" s="302"/>
      <c r="F1" s="302"/>
      <c r="G1" s="302"/>
    </row>
    <row r="2" spans="1:11" s="64" customFormat="1" ht="24" customHeight="1" x14ac:dyDescent="0.25">
      <c r="A2" s="299" t="str">
        <f>+UBMTTQ!A2</f>
        <v>(Kèm theo Quyết định số 815/QĐ-UBND ngày 05  tháng 11 năm 2025 của UBND xã)</v>
      </c>
      <c r="B2" s="299"/>
      <c r="C2" s="299"/>
      <c r="D2" s="299"/>
      <c r="E2" s="299"/>
      <c r="F2" s="299"/>
      <c r="G2" s="299"/>
    </row>
    <row r="3" spans="1:11" s="65" customFormat="1" ht="24" customHeight="1" x14ac:dyDescent="0.25">
      <c r="A3" s="65" t="s">
        <v>275</v>
      </c>
      <c r="F3" s="300" t="s">
        <v>93</v>
      </c>
      <c r="G3" s="300"/>
    </row>
    <row r="4" spans="1:11" s="58" customFormat="1" ht="49.5" customHeight="1" x14ac:dyDescent="0.25">
      <c r="A4" s="57" t="s">
        <v>2</v>
      </c>
      <c r="B4" s="57" t="s">
        <v>3</v>
      </c>
      <c r="C4" s="57" t="s">
        <v>87</v>
      </c>
      <c r="D4" s="57" t="s">
        <v>88</v>
      </c>
      <c r="E4" s="57" t="s">
        <v>89</v>
      </c>
      <c r="F4" s="57" t="s">
        <v>90</v>
      </c>
      <c r="G4" s="57" t="s">
        <v>91</v>
      </c>
    </row>
    <row r="5" spans="1:11" s="64" customFormat="1" ht="21" customHeight="1" x14ac:dyDescent="0.25">
      <c r="A5" s="209"/>
      <c r="B5" s="210" t="s">
        <v>94</v>
      </c>
      <c r="C5" s="209"/>
      <c r="D5" s="209"/>
      <c r="E5" s="209"/>
      <c r="F5" s="209"/>
      <c r="G5" s="150">
        <f>+G6</f>
        <v>7029780000</v>
      </c>
      <c r="I5" s="278"/>
      <c r="J5" s="278"/>
      <c r="K5" s="278"/>
    </row>
    <row r="6" spans="1:11" s="65" customFormat="1" ht="21" customHeight="1" x14ac:dyDescent="0.25">
      <c r="A6" s="209" t="s">
        <v>7</v>
      </c>
      <c r="B6" s="210" t="s">
        <v>101</v>
      </c>
      <c r="C6" s="209"/>
      <c r="D6" s="209"/>
      <c r="E6" s="209"/>
      <c r="F6" s="209"/>
      <c r="G6" s="150">
        <f>+G7+G8</f>
        <v>7029780000</v>
      </c>
    </row>
    <row r="7" spans="1:11" s="64" customFormat="1" ht="23.25" customHeight="1" x14ac:dyDescent="0.25">
      <c r="A7" s="211">
        <v>1</v>
      </c>
      <c r="B7" s="212" t="s">
        <v>92</v>
      </c>
      <c r="C7" s="211">
        <v>822</v>
      </c>
      <c r="D7" s="213" t="s">
        <v>102</v>
      </c>
      <c r="E7" s="213" t="s">
        <v>103</v>
      </c>
      <c r="F7" s="211">
        <v>13</v>
      </c>
      <c r="G7" s="151">
        <v>5255300000</v>
      </c>
      <c r="I7" s="278"/>
    </row>
    <row r="8" spans="1:11" s="55" customFormat="1" x14ac:dyDescent="0.25">
      <c r="A8" s="211">
        <v>2</v>
      </c>
      <c r="B8" s="279" t="s">
        <v>143</v>
      </c>
      <c r="C8" s="211"/>
      <c r="D8" s="213"/>
      <c r="E8" s="213"/>
      <c r="F8" s="211"/>
      <c r="G8" s="280">
        <f>+G9+G13+G16+G17+G18</f>
        <v>1774480000</v>
      </c>
    </row>
    <row r="9" spans="1:11" s="55" customFormat="1" x14ac:dyDescent="0.25">
      <c r="A9" s="211" t="s">
        <v>169</v>
      </c>
      <c r="B9" s="279" t="s">
        <v>144</v>
      </c>
      <c r="C9" s="211">
        <v>822</v>
      </c>
      <c r="D9" s="213" t="s">
        <v>102</v>
      </c>
      <c r="E9" s="213" t="s">
        <v>103</v>
      </c>
      <c r="F9" s="211">
        <v>12</v>
      </c>
      <c r="G9" s="280">
        <f>+G10+G11+G12</f>
        <v>421440000</v>
      </c>
      <c r="I9" s="281">
        <f>+I7-I8</f>
        <v>0</v>
      </c>
    </row>
    <row r="10" spans="1:11" s="285" customFormat="1" x14ac:dyDescent="0.25">
      <c r="A10" s="282" t="s">
        <v>68</v>
      </c>
      <c r="B10" s="283" t="s">
        <v>145</v>
      </c>
      <c r="C10" s="283"/>
      <c r="D10" s="283"/>
      <c r="E10" s="283"/>
      <c r="F10" s="283"/>
      <c r="G10" s="284">
        <v>301440000</v>
      </c>
    </row>
    <row r="11" spans="1:11" s="285" customFormat="1" x14ac:dyDescent="0.25">
      <c r="A11" s="282" t="s">
        <v>68</v>
      </c>
      <c r="B11" s="283" t="s">
        <v>146</v>
      </c>
      <c r="C11" s="283"/>
      <c r="D11" s="283"/>
      <c r="E11" s="283"/>
      <c r="F11" s="283"/>
      <c r="G11" s="284">
        <v>48000000</v>
      </c>
    </row>
    <row r="12" spans="1:11" s="285" customFormat="1" x14ac:dyDescent="0.25">
      <c r="A12" s="282" t="s">
        <v>68</v>
      </c>
      <c r="B12" s="283" t="s">
        <v>147</v>
      </c>
      <c r="C12" s="283"/>
      <c r="D12" s="283"/>
      <c r="E12" s="283"/>
      <c r="F12" s="283"/>
      <c r="G12" s="284">
        <v>72000000</v>
      </c>
    </row>
    <row r="13" spans="1:11" s="55" customFormat="1" ht="31.5" x14ac:dyDescent="0.25">
      <c r="A13" s="211" t="s">
        <v>195</v>
      </c>
      <c r="B13" s="216" t="s">
        <v>290</v>
      </c>
      <c r="C13" s="211">
        <v>822</v>
      </c>
      <c r="D13" s="213" t="s">
        <v>102</v>
      </c>
      <c r="E13" s="213" t="s">
        <v>103</v>
      </c>
      <c r="F13" s="211">
        <v>12</v>
      </c>
      <c r="G13" s="280">
        <f>+G14+G15</f>
        <v>411000000</v>
      </c>
    </row>
    <row r="14" spans="1:11" s="285" customFormat="1" x14ac:dyDescent="0.25">
      <c r="A14" s="282" t="s">
        <v>68</v>
      </c>
      <c r="B14" s="219" t="s">
        <v>202</v>
      </c>
      <c r="C14" s="283"/>
      <c r="D14" s="283"/>
      <c r="E14" s="283"/>
      <c r="F14" s="283"/>
      <c r="G14" s="284">
        <v>411000000</v>
      </c>
    </row>
    <row r="15" spans="1:11" s="285" customFormat="1" x14ac:dyDescent="0.25">
      <c r="A15" s="282" t="s">
        <v>68</v>
      </c>
      <c r="B15" s="283" t="s">
        <v>148</v>
      </c>
      <c r="C15" s="283"/>
      <c r="D15" s="283"/>
      <c r="E15" s="283"/>
      <c r="F15" s="283"/>
      <c r="G15" s="94"/>
    </row>
    <row r="16" spans="1:11" s="55" customFormat="1" ht="47.25" x14ac:dyDescent="0.25">
      <c r="A16" s="264" t="s">
        <v>198</v>
      </c>
      <c r="B16" s="216" t="s">
        <v>289</v>
      </c>
      <c r="C16" s="211">
        <v>822</v>
      </c>
      <c r="D16" s="213" t="s">
        <v>102</v>
      </c>
      <c r="E16" s="213" t="s">
        <v>103</v>
      </c>
      <c r="F16" s="211">
        <v>12</v>
      </c>
      <c r="G16" s="214">
        <v>530000000</v>
      </c>
    </row>
    <row r="17" spans="1:7" s="55" customFormat="1" ht="47.25" x14ac:dyDescent="0.25">
      <c r="A17" s="211" t="s">
        <v>199</v>
      </c>
      <c r="B17" s="216" t="s">
        <v>209</v>
      </c>
      <c r="C17" s="211">
        <v>822</v>
      </c>
      <c r="D17" s="213" t="s">
        <v>102</v>
      </c>
      <c r="E17" s="213" t="s">
        <v>103</v>
      </c>
      <c r="F17" s="211">
        <v>12</v>
      </c>
      <c r="G17" s="214">
        <v>37440000.000000007</v>
      </c>
    </row>
    <row r="18" spans="1:7" s="55" customFormat="1" ht="31.5" x14ac:dyDescent="0.25">
      <c r="A18" s="211" t="s">
        <v>200</v>
      </c>
      <c r="B18" s="231" t="s">
        <v>160</v>
      </c>
      <c r="C18" s="177">
        <v>822</v>
      </c>
      <c r="D18" s="190" t="s">
        <v>102</v>
      </c>
      <c r="E18" s="190" t="s">
        <v>103</v>
      </c>
      <c r="F18" s="177">
        <v>18</v>
      </c>
      <c r="G18" s="154">
        <v>374600000</v>
      </c>
    </row>
    <row r="19" spans="1:7" x14ac:dyDescent="0.3">
      <c r="B19" s="223"/>
      <c r="C19" s="223"/>
      <c r="D19" s="223"/>
      <c r="E19" s="223"/>
      <c r="F19" s="223"/>
      <c r="G19" s="223"/>
    </row>
  </sheetData>
  <mergeCells count="3">
    <mergeCell ref="A1:G1"/>
    <mergeCell ref="A2:G2"/>
    <mergeCell ref="F3:G3"/>
  </mergeCells>
  <phoneticPr fontId="16" type="noConversion"/>
  <pageMargins left="0.5" right="0.46"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G19"/>
  <sheetViews>
    <sheetView topLeftCell="A7" workbookViewId="0">
      <selection activeCell="F17" sqref="F17:F18"/>
    </sheetView>
  </sheetViews>
  <sheetFormatPr defaultRowHeight="15.75" x14ac:dyDescent="0.25"/>
  <cols>
    <col min="1" max="1" width="5.42578125" style="58" customWidth="1"/>
    <col min="2" max="2" width="36.140625" style="58" customWidth="1"/>
    <col min="3" max="3" width="9.140625" style="58"/>
    <col min="4" max="4" width="8" style="58" customWidth="1"/>
    <col min="5" max="5" width="9.140625" style="58"/>
    <col min="6" max="6" width="8.28515625" style="58" customWidth="1"/>
    <col min="7" max="7" width="16.85546875" style="157" customWidth="1"/>
    <col min="8" max="16384" width="9.140625" style="58"/>
  </cols>
  <sheetData>
    <row r="1" spans="1:7" s="64" customFormat="1" ht="39" customHeight="1" x14ac:dyDescent="0.25">
      <c r="A1" s="297" t="str">
        <f>+'MN MTH'!A1</f>
        <v>BIỂU GIAO DỰ TOÁN KINH PHÍ NĂM 2025
 (THỜI GIAN THỰC HIỆN TỪ 01/7/2025 ĐẾN 31/12/2025)</v>
      </c>
      <c r="B1" s="298"/>
      <c r="C1" s="298"/>
      <c r="D1" s="298"/>
      <c r="E1" s="298"/>
      <c r="F1" s="298"/>
      <c r="G1" s="298"/>
    </row>
    <row r="2" spans="1:7" s="64" customFormat="1" ht="24" customHeight="1" x14ac:dyDescent="0.25">
      <c r="A2" s="299" t="str">
        <f>+'MN MTH'!A2</f>
        <v>(Kèm theo Quyết định số 815/QĐ-UBND ngày 05  tháng 11 năm 2025 của UBND xã)</v>
      </c>
      <c r="B2" s="299"/>
      <c r="C2" s="299"/>
      <c r="D2" s="299"/>
      <c r="E2" s="299"/>
      <c r="F2" s="299"/>
      <c r="G2" s="299"/>
    </row>
    <row r="3" spans="1:7" s="65" customFormat="1" ht="24" customHeight="1" x14ac:dyDescent="0.25">
      <c r="A3" s="65" t="s">
        <v>276</v>
      </c>
      <c r="F3" s="300" t="s">
        <v>93</v>
      </c>
      <c r="G3" s="300"/>
    </row>
    <row r="4" spans="1:7" ht="49.5" customHeight="1" x14ac:dyDescent="0.25">
      <c r="A4" s="116" t="s">
        <v>2</v>
      </c>
      <c r="B4" s="116" t="s">
        <v>3</v>
      </c>
      <c r="C4" s="116" t="s">
        <v>87</v>
      </c>
      <c r="D4" s="116" t="s">
        <v>88</v>
      </c>
      <c r="E4" s="116" t="s">
        <v>89</v>
      </c>
      <c r="F4" s="116" t="s">
        <v>90</v>
      </c>
      <c r="G4" s="225" t="s">
        <v>91</v>
      </c>
    </row>
    <row r="5" spans="1:7" ht="21" customHeight="1" x14ac:dyDescent="0.25">
      <c r="A5" s="117"/>
      <c r="B5" s="97" t="s">
        <v>94</v>
      </c>
      <c r="C5" s="117"/>
      <c r="D5" s="117"/>
      <c r="E5" s="117"/>
      <c r="F5" s="117"/>
      <c r="G5" s="150">
        <f>+G6</f>
        <v>5518400000</v>
      </c>
    </row>
    <row r="6" spans="1:7" s="61" customFormat="1" ht="21" customHeight="1" x14ac:dyDescent="0.25">
      <c r="A6" s="117" t="s">
        <v>7</v>
      </c>
      <c r="B6" s="97" t="s">
        <v>101</v>
      </c>
      <c r="C6" s="117"/>
      <c r="D6" s="117"/>
      <c r="E6" s="117"/>
      <c r="F6" s="117"/>
      <c r="G6" s="150">
        <f>+G7+G8</f>
        <v>5518400000</v>
      </c>
    </row>
    <row r="7" spans="1:7" ht="23.25" customHeight="1" x14ac:dyDescent="0.25">
      <c r="A7" s="99">
        <v>1</v>
      </c>
      <c r="B7" s="100" t="s">
        <v>92</v>
      </c>
      <c r="C7" s="99">
        <v>822</v>
      </c>
      <c r="D7" s="68" t="s">
        <v>102</v>
      </c>
      <c r="E7" s="68" t="s">
        <v>103</v>
      </c>
      <c r="F7" s="99">
        <v>13</v>
      </c>
      <c r="G7" s="151">
        <v>3983599999.9999995</v>
      </c>
    </row>
    <row r="8" spans="1:7" x14ac:dyDescent="0.25">
      <c r="A8" s="102">
        <v>2</v>
      </c>
      <c r="B8" s="112" t="s">
        <v>143</v>
      </c>
      <c r="C8" s="112"/>
      <c r="D8" s="112"/>
      <c r="E8" s="112"/>
      <c r="F8" s="102"/>
      <c r="G8" s="152">
        <f>+G9+G13+G16+G17+G18+G19</f>
        <v>1534800000</v>
      </c>
    </row>
    <row r="9" spans="1:7" x14ac:dyDescent="0.25">
      <c r="A9" s="102" t="s">
        <v>169</v>
      </c>
      <c r="B9" s="279" t="s">
        <v>144</v>
      </c>
      <c r="C9" s="99">
        <v>822</v>
      </c>
      <c r="D9" s="68" t="s">
        <v>102</v>
      </c>
      <c r="E9" s="68" t="s">
        <v>103</v>
      </c>
      <c r="F9" s="211">
        <v>12</v>
      </c>
      <c r="G9" s="152">
        <f>+G10+G11+G12</f>
        <v>235960000</v>
      </c>
    </row>
    <row r="10" spans="1:7" s="80" customFormat="1" x14ac:dyDescent="0.25">
      <c r="A10" s="104" t="s">
        <v>68</v>
      </c>
      <c r="B10" s="113" t="s">
        <v>145</v>
      </c>
      <c r="C10" s="113"/>
      <c r="D10" s="113"/>
      <c r="E10" s="113"/>
      <c r="F10" s="104"/>
      <c r="G10" s="153">
        <v>146560000</v>
      </c>
    </row>
    <row r="11" spans="1:7" s="80" customFormat="1" x14ac:dyDescent="0.25">
      <c r="A11" s="104" t="s">
        <v>68</v>
      </c>
      <c r="B11" s="113" t="s">
        <v>146</v>
      </c>
      <c r="C11" s="113"/>
      <c r="D11" s="113"/>
      <c r="E11" s="113"/>
      <c r="F11" s="104"/>
      <c r="G11" s="153">
        <v>48000000</v>
      </c>
    </row>
    <row r="12" spans="1:7" s="80" customFormat="1" x14ac:dyDescent="0.25">
      <c r="A12" s="104" t="s">
        <v>68</v>
      </c>
      <c r="B12" s="113" t="s">
        <v>147</v>
      </c>
      <c r="C12" s="113"/>
      <c r="D12" s="113"/>
      <c r="E12" s="113"/>
      <c r="F12" s="104"/>
      <c r="G12" s="153">
        <v>41400000</v>
      </c>
    </row>
    <row r="13" spans="1:7" ht="31.5" x14ac:dyDescent="0.25">
      <c r="A13" s="102" t="s">
        <v>195</v>
      </c>
      <c r="B13" s="216" t="s">
        <v>290</v>
      </c>
      <c r="C13" s="99">
        <v>822</v>
      </c>
      <c r="D13" s="68" t="s">
        <v>102</v>
      </c>
      <c r="E13" s="68" t="s">
        <v>103</v>
      </c>
      <c r="F13" s="211">
        <v>12</v>
      </c>
      <c r="G13" s="152">
        <f>+G14+G15</f>
        <v>210000000</v>
      </c>
    </row>
    <row r="14" spans="1:7" s="80" customFormat="1" x14ac:dyDescent="0.25">
      <c r="A14" s="104" t="s">
        <v>68</v>
      </c>
      <c r="B14" s="219" t="s">
        <v>202</v>
      </c>
      <c r="C14" s="113"/>
      <c r="D14" s="113"/>
      <c r="E14" s="113"/>
      <c r="F14" s="104"/>
      <c r="G14" s="94">
        <v>210000000</v>
      </c>
    </row>
    <row r="15" spans="1:7" s="80" customFormat="1" x14ac:dyDescent="0.25">
      <c r="A15" s="104" t="s">
        <v>68</v>
      </c>
      <c r="B15" s="113" t="s">
        <v>148</v>
      </c>
      <c r="C15" s="113"/>
      <c r="D15" s="113"/>
      <c r="E15" s="113"/>
      <c r="F15" s="104"/>
      <c r="G15" s="94"/>
    </row>
    <row r="16" spans="1:7" ht="47.25" x14ac:dyDescent="0.25">
      <c r="A16" s="102" t="s">
        <v>198</v>
      </c>
      <c r="B16" s="216" t="s">
        <v>289</v>
      </c>
      <c r="C16" s="99">
        <v>822</v>
      </c>
      <c r="D16" s="68" t="s">
        <v>102</v>
      </c>
      <c r="E16" s="68" t="s">
        <v>103</v>
      </c>
      <c r="F16" s="211">
        <v>12</v>
      </c>
      <c r="G16" s="214">
        <v>300000000</v>
      </c>
    </row>
    <row r="17" spans="1:7" ht="47.25" x14ac:dyDescent="0.25">
      <c r="A17" s="102" t="s">
        <v>199</v>
      </c>
      <c r="B17" s="224" t="s">
        <v>209</v>
      </c>
      <c r="C17" s="99">
        <v>822</v>
      </c>
      <c r="D17" s="68" t="s">
        <v>102</v>
      </c>
      <c r="E17" s="68" t="s">
        <v>103</v>
      </c>
      <c r="F17" s="211">
        <v>12</v>
      </c>
      <c r="G17" s="214">
        <v>14976000</v>
      </c>
    </row>
    <row r="18" spans="1:7" s="125" customFormat="1" x14ac:dyDescent="0.25">
      <c r="A18" s="102" t="s">
        <v>200</v>
      </c>
      <c r="B18" s="231" t="s">
        <v>291</v>
      </c>
      <c r="C18" s="99">
        <v>822</v>
      </c>
      <c r="D18" s="68" t="s">
        <v>102</v>
      </c>
      <c r="E18" s="68" t="s">
        <v>103</v>
      </c>
      <c r="F18" s="211">
        <v>12</v>
      </c>
      <c r="G18" s="154">
        <v>499664000</v>
      </c>
    </row>
    <row r="19" spans="1:7" s="125" customFormat="1" ht="31.5" x14ac:dyDescent="0.25">
      <c r="A19" s="102" t="s">
        <v>201</v>
      </c>
      <c r="B19" s="231" t="s">
        <v>160</v>
      </c>
      <c r="C19" s="99">
        <v>822</v>
      </c>
      <c r="D19" s="68" t="s">
        <v>102</v>
      </c>
      <c r="E19" s="68" t="s">
        <v>103</v>
      </c>
      <c r="F19" s="133">
        <v>18</v>
      </c>
      <c r="G19" s="154">
        <v>274200000</v>
      </c>
    </row>
  </sheetData>
  <mergeCells count="3">
    <mergeCell ref="A1:G1"/>
    <mergeCell ref="A2:G2"/>
    <mergeCell ref="F3:G3"/>
  </mergeCells>
  <phoneticPr fontId="16" type="noConversion"/>
  <pageMargins left="0.7" right="0.46" top="0.75" bottom="0.75" header="0.3" footer="0.3"/>
  <pageSetup paperSize="9" scale="95"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G19"/>
  <sheetViews>
    <sheetView workbookViewId="0">
      <selection activeCell="G12" sqref="G12"/>
    </sheetView>
  </sheetViews>
  <sheetFormatPr defaultRowHeight="15.75" x14ac:dyDescent="0.25"/>
  <cols>
    <col min="1" max="1" width="5.42578125" style="58" customWidth="1"/>
    <col min="2" max="2" width="36.140625" style="58" customWidth="1"/>
    <col min="3" max="3" width="9.140625" style="58"/>
    <col min="4" max="4" width="8" style="58" customWidth="1"/>
    <col min="5" max="5" width="9.140625" style="58"/>
    <col min="6" max="6" width="8.28515625" style="58" customWidth="1"/>
    <col min="7" max="7" width="16.85546875" style="157" customWidth="1"/>
    <col min="8" max="16384" width="9.140625" style="58"/>
  </cols>
  <sheetData>
    <row r="1" spans="1:7" s="64" customFormat="1" ht="39" customHeight="1" x14ac:dyDescent="0.25">
      <c r="A1" s="297" t="str">
        <f>+'MN MTH'!A1</f>
        <v>BIỂU GIAO DỰ TOÁN KINH PHÍ NĂM 2025
 (THỜI GIAN THỰC HIỆN TỪ 01/7/2025 ĐẾN 31/12/2025)</v>
      </c>
      <c r="B1" s="298"/>
      <c r="C1" s="298"/>
      <c r="D1" s="298"/>
      <c r="E1" s="298"/>
      <c r="F1" s="298"/>
      <c r="G1" s="298"/>
    </row>
    <row r="2" spans="1:7" s="64" customFormat="1" ht="24" customHeight="1" x14ac:dyDescent="0.25">
      <c r="A2" s="299" t="str">
        <f>+'MN MTH'!A2</f>
        <v>(Kèm theo Quyết định số 815/QĐ-UBND ngày 05  tháng 11 năm 2025 của UBND xã)</v>
      </c>
      <c r="B2" s="299"/>
      <c r="C2" s="299"/>
      <c r="D2" s="299"/>
      <c r="E2" s="299"/>
      <c r="F2" s="299"/>
      <c r="G2" s="299"/>
    </row>
    <row r="3" spans="1:7" s="65" customFormat="1" ht="24" customHeight="1" x14ac:dyDescent="0.25">
      <c r="A3" s="65" t="s">
        <v>277</v>
      </c>
      <c r="F3" s="300" t="s">
        <v>93</v>
      </c>
      <c r="G3" s="300"/>
    </row>
    <row r="4" spans="1:7" ht="49.5" customHeight="1" x14ac:dyDescent="0.25">
      <c r="A4" s="116" t="s">
        <v>2</v>
      </c>
      <c r="B4" s="116" t="s">
        <v>3</v>
      </c>
      <c r="C4" s="116" t="s">
        <v>87</v>
      </c>
      <c r="D4" s="116" t="s">
        <v>88</v>
      </c>
      <c r="E4" s="116" t="s">
        <v>89</v>
      </c>
      <c r="F4" s="116" t="s">
        <v>90</v>
      </c>
      <c r="G4" s="225" t="s">
        <v>91</v>
      </c>
    </row>
    <row r="5" spans="1:7" ht="21" customHeight="1" x14ac:dyDescent="0.25">
      <c r="A5" s="117"/>
      <c r="B5" s="97" t="s">
        <v>94</v>
      </c>
      <c r="C5" s="117"/>
      <c r="D5" s="117"/>
      <c r="E5" s="117"/>
      <c r="F5" s="117"/>
      <c r="G5" s="150">
        <f>+G6</f>
        <v>5344747000</v>
      </c>
    </row>
    <row r="6" spans="1:7" s="61" customFormat="1" ht="21" customHeight="1" x14ac:dyDescent="0.25">
      <c r="A6" s="117" t="s">
        <v>7</v>
      </c>
      <c r="B6" s="97" t="s">
        <v>101</v>
      </c>
      <c r="C6" s="117"/>
      <c r="D6" s="117"/>
      <c r="E6" s="117"/>
      <c r="F6" s="117"/>
      <c r="G6" s="150">
        <f>+G7+G8</f>
        <v>5344747000</v>
      </c>
    </row>
    <row r="7" spans="1:7" ht="23.25" customHeight="1" x14ac:dyDescent="0.25">
      <c r="A7" s="99">
        <v>1</v>
      </c>
      <c r="B7" s="100" t="s">
        <v>92</v>
      </c>
      <c r="C7" s="99">
        <v>822</v>
      </c>
      <c r="D7" s="68" t="s">
        <v>102</v>
      </c>
      <c r="E7" s="68" t="s">
        <v>103</v>
      </c>
      <c r="F7" s="99">
        <v>13</v>
      </c>
      <c r="G7" s="151">
        <v>4001700000</v>
      </c>
    </row>
    <row r="8" spans="1:7" x14ac:dyDescent="0.25">
      <c r="A8" s="102">
        <v>2</v>
      </c>
      <c r="B8" s="112" t="s">
        <v>143</v>
      </c>
      <c r="C8" s="112"/>
      <c r="D8" s="112"/>
      <c r="E8" s="112"/>
      <c r="F8" s="102"/>
      <c r="G8" s="152">
        <f>+G9+G13+G16+G17+G18+G19</f>
        <v>1343047000</v>
      </c>
    </row>
    <row r="9" spans="1:7" x14ac:dyDescent="0.25">
      <c r="A9" s="102" t="s">
        <v>169</v>
      </c>
      <c r="B9" s="112" t="s">
        <v>144</v>
      </c>
      <c r="C9" s="99">
        <v>822</v>
      </c>
      <c r="D9" s="68" t="s">
        <v>102</v>
      </c>
      <c r="E9" s="68" t="s">
        <v>103</v>
      </c>
      <c r="F9" s="211">
        <v>12</v>
      </c>
      <c r="G9" s="152">
        <f>+G10+G11+G12</f>
        <v>178440000</v>
      </c>
    </row>
    <row r="10" spans="1:7" s="80" customFormat="1" x14ac:dyDescent="0.25">
      <c r="A10" s="104" t="s">
        <v>68</v>
      </c>
      <c r="B10" s="113" t="s">
        <v>145</v>
      </c>
      <c r="C10" s="113"/>
      <c r="D10" s="113"/>
      <c r="E10" s="113"/>
      <c r="F10" s="104"/>
      <c r="G10" s="153">
        <v>109440000</v>
      </c>
    </row>
    <row r="11" spans="1:7" s="80" customFormat="1" x14ac:dyDescent="0.25">
      <c r="A11" s="104" t="s">
        <v>68</v>
      </c>
      <c r="B11" s="113" t="s">
        <v>146</v>
      </c>
      <c r="C11" s="113"/>
      <c r="D11" s="113"/>
      <c r="E11" s="113"/>
      <c r="F11" s="104"/>
      <c r="G11" s="153">
        <v>38400000</v>
      </c>
    </row>
    <row r="12" spans="1:7" s="80" customFormat="1" x14ac:dyDescent="0.25">
      <c r="A12" s="104" t="s">
        <v>68</v>
      </c>
      <c r="B12" s="113" t="s">
        <v>147</v>
      </c>
      <c r="C12" s="113"/>
      <c r="D12" s="113"/>
      <c r="E12" s="113"/>
      <c r="F12" s="104"/>
      <c r="G12" s="153">
        <v>30600000</v>
      </c>
    </row>
    <row r="13" spans="1:7" ht="31.5" x14ac:dyDescent="0.25">
      <c r="A13" s="102" t="s">
        <v>195</v>
      </c>
      <c r="B13" s="216" t="s">
        <v>290</v>
      </c>
      <c r="C13" s="99">
        <v>822</v>
      </c>
      <c r="D13" s="68" t="s">
        <v>102</v>
      </c>
      <c r="E13" s="68" t="s">
        <v>103</v>
      </c>
      <c r="F13" s="211">
        <v>12</v>
      </c>
      <c r="G13" s="152">
        <f>+G14+G15</f>
        <v>155600000</v>
      </c>
    </row>
    <row r="14" spans="1:7" s="80" customFormat="1" x14ac:dyDescent="0.25">
      <c r="A14" s="104" t="s">
        <v>68</v>
      </c>
      <c r="B14" s="219" t="s">
        <v>202</v>
      </c>
      <c r="C14" s="113"/>
      <c r="D14" s="113"/>
      <c r="E14" s="113"/>
      <c r="F14" s="104"/>
      <c r="G14" s="94">
        <v>153000000</v>
      </c>
    </row>
    <row r="15" spans="1:7" s="80" customFormat="1" x14ac:dyDescent="0.25">
      <c r="A15" s="104" t="s">
        <v>68</v>
      </c>
      <c r="B15" s="113" t="s">
        <v>148</v>
      </c>
      <c r="C15" s="113"/>
      <c r="D15" s="113"/>
      <c r="E15" s="113"/>
      <c r="F15" s="104"/>
      <c r="G15" s="94">
        <v>2600000</v>
      </c>
    </row>
    <row r="16" spans="1:7" ht="47.25" x14ac:dyDescent="0.25">
      <c r="A16" s="102" t="s">
        <v>198</v>
      </c>
      <c r="B16" s="216" t="s">
        <v>289</v>
      </c>
      <c r="C16" s="99">
        <v>822</v>
      </c>
      <c r="D16" s="68" t="s">
        <v>102</v>
      </c>
      <c r="E16" s="68" t="s">
        <v>103</v>
      </c>
      <c r="F16" s="211">
        <v>12</v>
      </c>
      <c r="G16" s="214">
        <v>220000000</v>
      </c>
    </row>
    <row r="17" spans="1:7" ht="47.25" x14ac:dyDescent="0.25">
      <c r="A17" s="102" t="s">
        <v>199</v>
      </c>
      <c r="B17" s="224" t="s">
        <v>209</v>
      </c>
      <c r="C17" s="99">
        <v>822</v>
      </c>
      <c r="D17" s="68" t="s">
        <v>102</v>
      </c>
      <c r="E17" s="68" t="s">
        <v>103</v>
      </c>
      <c r="F17" s="211">
        <v>12</v>
      </c>
      <c r="G17" s="214">
        <v>22464000.000000004</v>
      </c>
    </row>
    <row r="18" spans="1:7" s="125" customFormat="1" ht="31.5" x14ac:dyDescent="0.25">
      <c r="A18" s="102" t="s">
        <v>200</v>
      </c>
      <c r="B18" s="231" t="s">
        <v>292</v>
      </c>
      <c r="C18" s="99">
        <v>822</v>
      </c>
      <c r="D18" s="68" t="s">
        <v>102</v>
      </c>
      <c r="E18" s="68" t="s">
        <v>103</v>
      </c>
      <c r="F18" s="211">
        <v>12</v>
      </c>
      <c r="G18" s="154">
        <v>499443000</v>
      </c>
    </row>
    <row r="19" spans="1:7" s="125" customFormat="1" ht="31.5" x14ac:dyDescent="0.25">
      <c r="A19" s="102" t="s">
        <v>201</v>
      </c>
      <c r="B19" s="231" t="s">
        <v>160</v>
      </c>
      <c r="C19" s="99">
        <v>822</v>
      </c>
      <c r="D19" s="68" t="s">
        <v>102</v>
      </c>
      <c r="E19" s="68" t="s">
        <v>103</v>
      </c>
      <c r="F19" s="133">
        <v>18</v>
      </c>
      <c r="G19" s="154">
        <v>267100000.00000003</v>
      </c>
    </row>
  </sheetData>
  <mergeCells count="3">
    <mergeCell ref="A1:G1"/>
    <mergeCell ref="A2:G2"/>
    <mergeCell ref="F3:G3"/>
  </mergeCells>
  <phoneticPr fontId="16" type="noConversion"/>
  <pageMargins left="0.7" right="0.46" top="0.75" bottom="0.75" header="0.3" footer="0.3"/>
  <pageSetup paperSize="9" scale="95"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G19"/>
  <sheetViews>
    <sheetView tabSelected="1" workbookViewId="0">
      <selection activeCell="F6" sqref="F6"/>
    </sheetView>
  </sheetViews>
  <sheetFormatPr defaultRowHeight="15.75" x14ac:dyDescent="0.25"/>
  <cols>
    <col min="1" max="1" width="5.42578125" style="58" customWidth="1"/>
    <col min="2" max="2" width="36.140625" style="58" customWidth="1"/>
    <col min="3" max="3" width="9.140625" style="58"/>
    <col min="4" max="4" width="8" style="58" customWidth="1"/>
    <col min="5" max="5" width="9.140625" style="58"/>
    <col min="6" max="6" width="8.28515625" style="78" customWidth="1"/>
    <col min="7" max="7" width="16.85546875" style="157" customWidth="1"/>
    <col min="8" max="16384" width="9.140625" style="58"/>
  </cols>
  <sheetData>
    <row r="1" spans="1:7" s="64" customFormat="1" ht="39" customHeight="1" x14ac:dyDescent="0.25">
      <c r="A1" s="297" t="str">
        <f>+'MN MTH'!A1</f>
        <v>BIỂU GIAO DỰ TOÁN KINH PHÍ NĂM 2025
 (THỜI GIAN THỰC HIỆN TỪ 01/7/2025 ĐẾN 31/12/2025)</v>
      </c>
      <c r="B1" s="298"/>
      <c r="C1" s="298"/>
      <c r="D1" s="298"/>
      <c r="E1" s="298"/>
      <c r="F1" s="298"/>
      <c r="G1" s="298"/>
    </row>
    <row r="2" spans="1:7" s="64" customFormat="1" ht="24" customHeight="1" x14ac:dyDescent="0.25">
      <c r="A2" s="299" t="str">
        <f>+'MN MTH'!A2</f>
        <v>(Kèm theo Quyết định số 815/QĐ-UBND ngày 05  tháng 11 năm 2025 của UBND xã)</v>
      </c>
      <c r="B2" s="299"/>
      <c r="C2" s="299"/>
      <c r="D2" s="299"/>
      <c r="E2" s="299"/>
      <c r="F2" s="299"/>
      <c r="G2" s="299"/>
    </row>
    <row r="3" spans="1:7" s="65" customFormat="1" ht="24" customHeight="1" x14ac:dyDescent="0.25">
      <c r="A3" s="65" t="s">
        <v>278</v>
      </c>
      <c r="F3" s="300" t="s">
        <v>298</v>
      </c>
      <c r="G3" s="300"/>
    </row>
    <row r="4" spans="1:7" ht="49.5" customHeight="1" x14ac:dyDescent="0.25">
      <c r="A4" s="116" t="s">
        <v>2</v>
      </c>
      <c r="B4" s="116" t="s">
        <v>3</v>
      </c>
      <c r="C4" s="116" t="s">
        <v>87</v>
      </c>
      <c r="D4" s="116" t="s">
        <v>88</v>
      </c>
      <c r="E4" s="116" t="s">
        <v>89</v>
      </c>
      <c r="F4" s="116" t="s">
        <v>90</v>
      </c>
      <c r="G4" s="225" t="s">
        <v>91</v>
      </c>
    </row>
    <row r="5" spans="1:7" ht="21" customHeight="1" x14ac:dyDescent="0.25">
      <c r="A5" s="117"/>
      <c r="B5" s="97" t="s">
        <v>94</v>
      </c>
      <c r="C5" s="117"/>
      <c r="D5" s="117"/>
      <c r="E5" s="117"/>
      <c r="F5" s="117"/>
      <c r="G5" s="150">
        <f>+G6</f>
        <v>5726059000</v>
      </c>
    </row>
    <row r="6" spans="1:7" s="61" customFormat="1" ht="21" customHeight="1" x14ac:dyDescent="0.25">
      <c r="A6" s="117" t="s">
        <v>7</v>
      </c>
      <c r="B6" s="97" t="s">
        <v>101</v>
      </c>
      <c r="C6" s="117"/>
      <c r="D6" s="117"/>
      <c r="E6" s="117"/>
      <c r="F6" s="117"/>
      <c r="G6" s="150">
        <f>+G7+G8</f>
        <v>5726059000</v>
      </c>
    </row>
    <row r="7" spans="1:7" ht="23.25" customHeight="1" x14ac:dyDescent="0.25">
      <c r="A7" s="99">
        <v>1</v>
      </c>
      <c r="B7" s="100" t="s">
        <v>92</v>
      </c>
      <c r="C7" s="99">
        <v>822</v>
      </c>
      <c r="D7" s="68" t="s">
        <v>102</v>
      </c>
      <c r="E7" s="68" t="s">
        <v>103</v>
      </c>
      <c r="F7" s="99">
        <v>13</v>
      </c>
      <c r="G7" s="151">
        <v>4010700000.0000005</v>
      </c>
    </row>
    <row r="8" spans="1:7" x14ac:dyDescent="0.25">
      <c r="A8" s="102">
        <v>2</v>
      </c>
      <c r="B8" s="112" t="s">
        <v>143</v>
      </c>
      <c r="C8" s="112"/>
      <c r="D8" s="112"/>
      <c r="E8" s="112"/>
      <c r="F8" s="102"/>
      <c r="G8" s="152">
        <f>+G9+G13+G16+G17+G18+G19</f>
        <v>1715359000</v>
      </c>
    </row>
    <row r="9" spans="1:7" x14ac:dyDescent="0.25">
      <c r="A9" s="102" t="s">
        <v>169</v>
      </c>
      <c r="B9" s="112" t="s">
        <v>144</v>
      </c>
      <c r="C9" s="99">
        <v>822</v>
      </c>
      <c r="D9" s="68" t="s">
        <v>102</v>
      </c>
      <c r="E9" s="68" t="s">
        <v>103</v>
      </c>
      <c r="F9" s="211">
        <v>12</v>
      </c>
      <c r="G9" s="152">
        <f>+G10+G11+G12</f>
        <v>267080000</v>
      </c>
    </row>
    <row r="10" spans="1:7" s="80" customFormat="1" x14ac:dyDescent="0.25">
      <c r="A10" s="104" t="s">
        <v>68</v>
      </c>
      <c r="B10" s="113" t="s">
        <v>145</v>
      </c>
      <c r="C10" s="113"/>
      <c r="D10" s="113"/>
      <c r="E10" s="113"/>
      <c r="F10" s="104"/>
      <c r="G10" s="153">
        <v>174080000</v>
      </c>
    </row>
    <row r="11" spans="1:7" s="80" customFormat="1" x14ac:dyDescent="0.25">
      <c r="A11" s="104" t="s">
        <v>68</v>
      </c>
      <c r="B11" s="113" t="s">
        <v>146</v>
      </c>
      <c r="C11" s="113"/>
      <c r="D11" s="113"/>
      <c r="E11" s="113"/>
      <c r="F11" s="104"/>
      <c r="G11" s="153">
        <v>48000000</v>
      </c>
    </row>
    <row r="12" spans="1:7" s="80" customFormat="1" x14ac:dyDescent="0.25">
      <c r="A12" s="104" t="s">
        <v>68</v>
      </c>
      <c r="B12" s="113" t="s">
        <v>147</v>
      </c>
      <c r="C12" s="113"/>
      <c r="D12" s="113"/>
      <c r="E12" s="113"/>
      <c r="F12" s="104"/>
      <c r="G12" s="153">
        <v>45000000</v>
      </c>
    </row>
    <row r="13" spans="1:7" ht="31.5" x14ac:dyDescent="0.25">
      <c r="A13" s="102" t="s">
        <v>195</v>
      </c>
      <c r="B13" s="216" t="s">
        <v>290</v>
      </c>
      <c r="C13" s="99">
        <v>822</v>
      </c>
      <c r="D13" s="68" t="s">
        <v>102</v>
      </c>
      <c r="E13" s="68" t="s">
        <v>103</v>
      </c>
      <c r="F13" s="211">
        <v>12</v>
      </c>
      <c r="G13" s="152">
        <f>+G14+G15</f>
        <v>253200000</v>
      </c>
    </row>
    <row r="14" spans="1:7" s="80" customFormat="1" x14ac:dyDescent="0.25">
      <c r="A14" s="104" t="s">
        <v>68</v>
      </c>
      <c r="B14" s="219" t="s">
        <v>202</v>
      </c>
      <c r="C14" s="113"/>
      <c r="D14" s="113"/>
      <c r="E14" s="113"/>
      <c r="F14" s="104"/>
      <c r="G14" s="94">
        <v>253200000</v>
      </c>
    </row>
    <row r="15" spans="1:7" s="80" customFormat="1" x14ac:dyDescent="0.25">
      <c r="A15" s="104" t="s">
        <v>68</v>
      </c>
      <c r="B15" s="113" t="s">
        <v>148</v>
      </c>
      <c r="C15" s="113"/>
      <c r="D15" s="113"/>
      <c r="E15" s="113"/>
      <c r="F15" s="104"/>
      <c r="G15" s="94"/>
    </row>
    <row r="16" spans="1:7" ht="47.25" x14ac:dyDescent="0.25">
      <c r="A16" s="102" t="s">
        <v>198</v>
      </c>
      <c r="B16" s="216" t="s">
        <v>289</v>
      </c>
      <c r="C16" s="99">
        <v>822</v>
      </c>
      <c r="D16" s="68" t="s">
        <v>102</v>
      </c>
      <c r="E16" s="68" t="s">
        <v>103</v>
      </c>
      <c r="F16" s="211">
        <v>12</v>
      </c>
      <c r="G16" s="214">
        <v>390000000</v>
      </c>
    </row>
    <row r="17" spans="1:7" ht="47.25" hidden="1" x14ac:dyDescent="0.25">
      <c r="A17" s="102"/>
      <c r="B17" s="224" t="s">
        <v>209</v>
      </c>
      <c r="C17" s="99">
        <v>822</v>
      </c>
      <c r="D17" s="68" t="s">
        <v>102</v>
      </c>
      <c r="E17" s="68" t="s">
        <v>103</v>
      </c>
      <c r="F17" s="211">
        <v>12</v>
      </c>
      <c r="G17" s="214"/>
    </row>
    <row r="18" spans="1:7" s="125" customFormat="1" x14ac:dyDescent="0.25">
      <c r="A18" s="102" t="s">
        <v>199</v>
      </c>
      <c r="B18" s="231" t="s">
        <v>293</v>
      </c>
      <c r="C18" s="99">
        <v>822</v>
      </c>
      <c r="D18" s="68" t="s">
        <v>102</v>
      </c>
      <c r="E18" s="68" t="s">
        <v>103</v>
      </c>
      <c r="F18" s="211">
        <v>12</v>
      </c>
      <c r="G18" s="154">
        <v>498779000</v>
      </c>
    </row>
    <row r="19" spans="1:7" s="125" customFormat="1" ht="31.5" x14ac:dyDescent="0.25">
      <c r="A19" s="102" t="s">
        <v>200</v>
      </c>
      <c r="B19" s="231" t="s">
        <v>160</v>
      </c>
      <c r="C19" s="99">
        <v>822</v>
      </c>
      <c r="D19" s="68" t="s">
        <v>102</v>
      </c>
      <c r="E19" s="68" t="s">
        <v>103</v>
      </c>
      <c r="F19" s="133">
        <v>18</v>
      </c>
      <c r="G19" s="154">
        <v>306300000</v>
      </c>
    </row>
  </sheetData>
  <mergeCells count="3">
    <mergeCell ref="A1:G1"/>
    <mergeCell ref="A2:G2"/>
    <mergeCell ref="F3:G3"/>
  </mergeCells>
  <phoneticPr fontId="16" type="noConversion"/>
  <pageMargins left="0.7" right="0.46" top="0.75" bottom="0.75" header="0.3" footer="0.3"/>
  <pageSetup paperSize="9" scale="9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J18"/>
  <sheetViews>
    <sheetView workbookViewId="0">
      <selection activeCell="F16" sqref="F16:F17"/>
    </sheetView>
  </sheetViews>
  <sheetFormatPr defaultRowHeight="15.75" x14ac:dyDescent="0.25"/>
  <cols>
    <col min="1" max="1" width="5.42578125" style="58" customWidth="1"/>
    <col min="2" max="2" width="36.140625" style="58" customWidth="1"/>
    <col min="3" max="3" width="9.140625" style="58"/>
    <col min="4" max="4" width="8" style="58" customWidth="1"/>
    <col min="5" max="5" width="9.140625" style="58"/>
    <col min="6" max="6" width="8.28515625" style="58" customWidth="1"/>
    <col min="7" max="7" width="16.85546875" style="157" customWidth="1"/>
    <col min="8" max="8" width="9.140625" style="58"/>
    <col min="9" max="9" width="14.5703125" style="58" bestFit="1" customWidth="1"/>
    <col min="10" max="10" width="13.7109375" style="58" bestFit="1" customWidth="1"/>
    <col min="11" max="16384" width="9.140625" style="58"/>
  </cols>
  <sheetData>
    <row r="1" spans="1:10" s="64" customFormat="1" ht="39" customHeight="1" x14ac:dyDescent="0.25">
      <c r="A1" s="297" t="str">
        <f>+'MN MTH'!A1</f>
        <v>BIỂU GIAO DỰ TOÁN KINH PHÍ NĂM 2025
 (THỜI GIAN THỰC HIỆN TỪ 01/7/2025 ĐẾN 31/12/2025)</v>
      </c>
      <c r="B1" s="298"/>
      <c r="C1" s="298"/>
      <c r="D1" s="298"/>
      <c r="E1" s="298"/>
      <c r="F1" s="298"/>
      <c r="G1" s="298"/>
    </row>
    <row r="2" spans="1:10" s="64" customFormat="1" ht="24" customHeight="1" x14ac:dyDescent="0.25">
      <c r="A2" s="299" t="str">
        <f>+'MN MTH'!A2</f>
        <v>(Kèm theo Quyết định số 815/QĐ-UBND ngày 05  tháng 11 năm 2025 của UBND xã)</v>
      </c>
      <c r="B2" s="299"/>
      <c r="C2" s="299"/>
      <c r="D2" s="299"/>
      <c r="E2" s="299"/>
      <c r="F2" s="299"/>
      <c r="G2" s="299"/>
    </row>
    <row r="3" spans="1:10" s="65" customFormat="1" ht="24" customHeight="1" x14ac:dyDescent="0.25">
      <c r="A3" s="65" t="s">
        <v>279</v>
      </c>
      <c r="F3" s="300" t="s">
        <v>93</v>
      </c>
      <c r="G3" s="300"/>
    </row>
    <row r="4" spans="1:10" ht="49.5" customHeight="1" x14ac:dyDescent="0.25">
      <c r="A4" s="116" t="s">
        <v>2</v>
      </c>
      <c r="B4" s="116" t="s">
        <v>3</v>
      </c>
      <c r="C4" s="116" t="s">
        <v>87</v>
      </c>
      <c r="D4" s="116" t="s">
        <v>88</v>
      </c>
      <c r="E4" s="116" t="s">
        <v>89</v>
      </c>
      <c r="F4" s="116" t="s">
        <v>90</v>
      </c>
      <c r="G4" s="225" t="s">
        <v>91</v>
      </c>
    </row>
    <row r="5" spans="1:10" ht="21" customHeight="1" x14ac:dyDescent="0.25">
      <c r="A5" s="117"/>
      <c r="B5" s="97" t="s">
        <v>94</v>
      </c>
      <c r="C5" s="117"/>
      <c r="D5" s="117"/>
      <c r="E5" s="117"/>
      <c r="F5" s="117"/>
      <c r="G5" s="150">
        <f>+G6</f>
        <v>3329340000</v>
      </c>
    </row>
    <row r="6" spans="1:10" s="65" customFormat="1" ht="21" customHeight="1" x14ac:dyDescent="0.25">
      <c r="A6" s="117" t="s">
        <v>7</v>
      </c>
      <c r="B6" s="97" t="s">
        <v>101</v>
      </c>
      <c r="C6" s="117"/>
      <c r="D6" s="117"/>
      <c r="E6" s="117"/>
      <c r="F6" s="117"/>
      <c r="G6" s="150">
        <f>+G7+G8</f>
        <v>3329340000</v>
      </c>
    </row>
    <row r="7" spans="1:10" s="64" customFormat="1" ht="23.25" customHeight="1" x14ac:dyDescent="0.25">
      <c r="A7" s="99">
        <v>1</v>
      </c>
      <c r="B7" s="100" t="s">
        <v>92</v>
      </c>
      <c r="C7" s="99">
        <v>822</v>
      </c>
      <c r="D7" s="68" t="s">
        <v>102</v>
      </c>
      <c r="E7" s="68" t="s">
        <v>103</v>
      </c>
      <c r="F7" s="202">
        <v>13</v>
      </c>
      <c r="G7" s="151">
        <v>2875300000</v>
      </c>
    </row>
    <row r="8" spans="1:10" s="64" customFormat="1" x14ac:dyDescent="0.25">
      <c r="A8" s="99">
        <v>2</v>
      </c>
      <c r="B8" s="257" t="s">
        <v>143</v>
      </c>
      <c r="C8" s="257"/>
      <c r="D8" s="257"/>
      <c r="E8" s="257"/>
      <c r="F8" s="257"/>
      <c r="G8" s="286">
        <f>+G9+G13+G16+G17+G18</f>
        <v>454040000</v>
      </c>
    </row>
    <row r="9" spans="1:10" s="64" customFormat="1" x14ac:dyDescent="0.25">
      <c r="A9" s="99" t="s">
        <v>169</v>
      </c>
      <c r="B9" s="257" t="s">
        <v>144</v>
      </c>
      <c r="C9" s="99">
        <v>822</v>
      </c>
      <c r="D9" s="68" t="s">
        <v>102</v>
      </c>
      <c r="E9" s="68" t="s">
        <v>103</v>
      </c>
      <c r="F9" s="257">
        <v>12</v>
      </c>
      <c r="G9" s="286">
        <f>+G10+G11+G12</f>
        <v>103440000</v>
      </c>
      <c r="I9" s="278"/>
      <c r="J9" s="294"/>
    </row>
    <row r="10" spans="1:10" s="256" customFormat="1" x14ac:dyDescent="0.25">
      <c r="A10" s="103" t="s">
        <v>68</v>
      </c>
      <c r="B10" s="262" t="s">
        <v>145</v>
      </c>
      <c r="C10" s="262"/>
      <c r="D10" s="262"/>
      <c r="E10" s="262"/>
      <c r="F10" s="262"/>
      <c r="G10" s="284">
        <v>71040000</v>
      </c>
    </row>
    <row r="11" spans="1:10" s="256" customFormat="1" x14ac:dyDescent="0.25">
      <c r="A11" s="103" t="s">
        <v>68</v>
      </c>
      <c r="B11" s="262" t="s">
        <v>146</v>
      </c>
      <c r="C11" s="262"/>
      <c r="D11" s="262"/>
      <c r="E11" s="262"/>
      <c r="F11" s="262"/>
      <c r="G11" s="284">
        <v>28800000</v>
      </c>
    </row>
    <row r="12" spans="1:10" s="256" customFormat="1" x14ac:dyDescent="0.25">
      <c r="A12" s="103" t="s">
        <v>68</v>
      </c>
      <c r="B12" s="262" t="s">
        <v>147</v>
      </c>
      <c r="C12" s="262"/>
      <c r="D12" s="262"/>
      <c r="E12" s="262"/>
      <c r="F12" s="262"/>
      <c r="G12" s="284">
        <v>3600000</v>
      </c>
    </row>
    <row r="13" spans="1:10" s="64" customFormat="1" ht="31.5" x14ac:dyDescent="0.25">
      <c r="A13" s="99" t="s">
        <v>195</v>
      </c>
      <c r="B13" s="216" t="s">
        <v>290</v>
      </c>
      <c r="C13" s="99">
        <v>822</v>
      </c>
      <c r="D13" s="68" t="s">
        <v>102</v>
      </c>
      <c r="E13" s="68" t="s">
        <v>103</v>
      </c>
      <c r="F13" s="257">
        <v>12</v>
      </c>
      <c r="G13" s="286">
        <f>+G14+G15</f>
        <v>17400000</v>
      </c>
    </row>
    <row r="14" spans="1:10" s="256" customFormat="1" x14ac:dyDescent="0.25">
      <c r="A14" s="103" t="s">
        <v>68</v>
      </c>
      <c r="B14" s="219" t="s">
        <v>202</v>
      </c>
      <c r="C14" s="262"/>
      <c r="D14" s="262"/>
      <c r="E14" s="262"/>
      <c r="F14" s="262"/>
      <c r="G14" s="94">
        <v>17400000</v>
      </c>
    </row>
    <row r="15" spans="1:10" s="256" customFormat="1" x14ac:dyDescent="0.25">
      <c r="A15" s="103" t="s">
        <v>68</v>
      </c>
      <c r="B15" s="262" t="s">
        <v>148</v>
      </c>
      <c r="C15" s="262"/>
      <c r="D15" s="262"/>
      <c r="E15" s="262"/>
      <c r="F15" s="262"/>
      <c r="G15" s="94"/>
    </row>
    <row r="16" spans="1:10" s="64" customFormat="1" ht="47.25" x14ac:dyDescent="0.25">
      <c r="A16" s="99" t="s">
        <v>198</v>
      </c>
      <c r="B16" s="216" t="s">
        <v>289</v>
      </c>
      <c r="C16" s="99">
        <v>822</v>
      </c>
      <c r="D16" s="68" t="s">
        <v>102</v>
      </c>
      <c r="E16" s="68" t="s">
        <v>103</v>
      </c>
      <c r="F16" s="257">
        <v>12</v>
      </c>
      <c r="G16" s="214">
        <v>70000000</v>
      </c>
    </row>
    <row r="17" spans="1:7" s="64" customFormat="1" ht="31.5" x14ac:dyDescent="0.25">
      <c r="A17" s="99" t="s">
        <v>199</v>
      </c>
      <c r="B17" s="224" t="s">
        <v>295</v>
      </c>
      <c r="C17" s="99">
        <v>822</v>
      </c>
      <c r="D17" s="68" t="s">
        <v>102</v>
      </c>
      <c r="E17" s="68" t="s">
        <v>103</v>
      </c>
      <c r="F17" s="257">
        <v>12</v>
      </c>
      <c r="G17" s="214">
        <v>5000000</v>
      </c>
    </row>
    <row r="18" spans="1:7" s="120" customFormat="1" ht="31.5" x14ac:dyDescent="0.25">
      <c r="A18" s="130" t="s">
        <v>200</v>
      </c>
      <c r="B18" s="231" t="s">
        <v>160</v>
      </c>
      <c r="C18" s="99">
        <v>822</v>
      </c>
      <c r="D18" s="68" t="s">
        <v>102</v>
      </c>
      <c r="E18" s="68" t="s">
        <v>103</v>
      </c>
      <c r="F18" s="293">
        <v>18</v>
      </c>
      <c r="G18" s="154">
        <v>258200000</v>
      </c>
    </row>
  </sheetData>
  <mergeCells count="3">
    <mergeCell ref="A1:G1"/>
    <mergeCell ref="A2:G2"/>
    <mergeCell ref="F3:G3"/>
  </mergeCells>
  <pageMargins left="0.7" right="0.46" top="0.75" bottom="0.75" header="0.3" footer="0.3"/>
  <pageSetup paperSize="9" scale="95"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G14"/>
  <sheetViews>
    <sheetView workbookViewId="0">
      <selection activeCell="F11" sqref="F11:F13"/>
    </sheetView>
  </sheetViews>
  <sheetFormatPr defaultRowHeight="15.75" x14ac:dyDescent="0.25"/>
  <cols>
    <col min="1" max="1" width="5.42578125" style="58" customWidth="1"/>
    <col min="2" max="2" width="36.140625" style="58" customWidth="1"/>
    <col min="3" max="3" width="9.140625" style="58"/>
    <col min="4" max="4" width="8" style="58" customWidth="1"/>
    <col min="5" max="5" width="9.140625" style="58"/>
    <col min="6" max="6" width="8.28515625" style="58" customWidth="1"/>
    <col min="7" max="7" width="17.42578125" style="58" customWidth="1"/>
    <col min="8" max="16384" width="9.140625" style="58"/>
  </cols>
  <sheetData>
    <row r="1" spans="1:7" s="64" customFormat="1" ht="52.5" customHeight="1" x14ac:dyDescent="0.25">
      <c r="A1" s="297" t="s">
        <v>123</v>
      </c>
      <c r="B1" s="298"/>
      <c r="C1" s="298"/>
      <c r="D1" s="298"/>
      <c r="E1" s="298"/>
      <c r="F1" s="298"/>
      <c r="G1" s="298"/>
    </row>
    <row r="2" spans="1:7" s="64" customFormat="1" ht="24" customHeight="1" x14ac:dyDescent="0.25">
      <c r="A2" s="299" t="str">
        <f>+'MN S1NS'!A2</f>
        <v>(Kèm theo Quyết định số 815/QĐ-UBND ngày 05  tháng 11 năm 2025 của UBND xã)</v>
      </c>
      <c r="B2" s="299"/>
      <c r="C2" s="299"/>
      <c r="D2" s="299"/>
      <c r="E2" s="299"/>
      <c r="F2" s="299"/>
      <c r="G2" s="299"/>
    </row>
    <row r="3" spans="1:7" s="65" customFormat="1" ht="24" customHeight="1" x14ac:dyDescent="0.25">
      <c r="A3" s="65" t="s">
        <v>280</v>
      </c>
      <c r="F3" s="300" t="s">
        <v>93</v>
      </c>
      <c r="G3" s="300"/>
    </row>
    <row r="4" spans="1:7" ht="49.5" customHeight="1" x14ac:dyDescent="0.25">
      <c r="A4" s="116" t="s">
        <v>2</v>
      </c>
      <c r="B4" s="116" t="s">
        <v>3</v>
      </c>
      <c r="C4" s="116" t="s">
        <v>87</v>
      </c>
      <c r="D4" s="116" t="s">
        <v>88</v>
      </c>
      <c r="E4" s="116" t="s">
        <v>89</v>
      </c>
      <c r="F4" s="116" t="s">
        <v>90</v>
      </c>
      <c r="G4" s="116" t="s">
        <v>91</v>
      </c>
    </row>
    <row r="5" spans="1:7" ht="21" customHeight="1" x14ac:dyDescent="0.25">
      <c r="A5" s="209"/>
      <c r="B5" s="210" t="s">
        <v>94</v>
      </c>
      <c r="C5" s="209"/>
      <c r="D5" s="209"/>
      <c r="E5" s="209"/>
      <c r="F5" s="209"/>
      <c r="G5" s="150">
        <f>+G6</f>
        <v>9215679301</v>
      </c>
    </row>
    <row r="6" spans="1:7" s="61" customFormat="1" ht="21" customHeight="1" x14ac:dyDescent="0.25">
      <c r="A6" s="209" t="s">
        <v>7</v>
      </c>
      <c r="B6" s="210" t="s">
        <v>101</v>
      </c>
      <c r="C6" s="209"/>
      <c r="D6" s="209"/>
      <c r="E6" s="209"/>
      <c r="F6" s="209"/>
      <c r="G6" s="150">
        <f>+G7+G8</f>
        <v>9215679301</v>
      </c>
    </row>
    <row r="7" spans="1:7" ht="23.25" customHeight="1" x14ac:dyDescent="0.25">
      <c r="A7" s="211">
        <v>1</v>
      </c>
      <c r="B7" s="212" t="s">
        <v>92</v>
      </c>
      <c r="C7" s="211">
        <v>822</v>
      </c>
      <c r="D7" s="213" t="s">
        <v>102</v>
      </c>
      <c r="E7" s="213" t="s">
        <v>104</v>
      </c>
      <c r="F7" s="226">
        <v>13</v>
      </c>
      <c r="G7" s="151">
        <v>6646300000</v>
      </c>
    </row>
    <row r="8" spans="1:7" x14ac:dyDescent="0.25">
      <c r="A8" s="217">
        <v>2</v>
      </c>
      <c r="B8" s="215" t="s">
        <v>143</v>
      </c>
      <c r="C8" s="215"/>
      <c r="D8" s="215"/>
      <c r="E8" s="215"/>
      <c r="F8" s="215"/>
      <c r="G8" s="220">
        <f>+G9+G11+G12+G13+G14</f>
        <v>2569379301</v>
      </c>
    </row>
    <row r="9" spans="1:7" ht="31.5" x14ac:dyDescent="0.25">
      <c r="A9" s="217" t="s">
        <v>169</v>
      </c>
      <c r="B9" s="216" t="s">
        <v>290</v>
      </c>
      <c r="C9" s="211">
        <v>822</v>
      </c>
      <c r="D9" s="213" t="s">
        <v>102</v>
      </c>
      <c r="E9" s="213" t="s">
        <v>104</v>
      </c>
      <c r="F9" s="257">
        <v>12</v>
      </c>
      <c r="G9" s="152">
        <f>+G10</f>
        <v>447000000</v>
      </c>
    </row>
    <row r="10" spans="1:7" s="80" customFormat="1" x14ac:dyDescent="0.25">
      <c r="A10" s="221" t="s">
        <v>68</v>
      </c>
      <c r="B10" s="219" t="s">
        <v>202</v>
      </c>
      <c r="C10" s="218"/>
      <c r="D10" s="218"/>
      <c r="E10" s="218"/>
      <c r="F10" s="218"/>
      <c r="G10" s="94">
        <v>447000000</v>
      </c>
    </row>
    <row r="11" spans="1:7" ht="47.25" x14ac:dyDescent="0.25">
      <c r="A11" s="217" t="s">
        <v>195</v>
      </c>
      <c r="B11" s="216" t="s">
        <v>289</v>
      </c>
      <c r="C11" s="211">
        <v>822</v>
      </c>
      <c r="D11" s="213" t="s">
        <v>102</v>
      </c>
      <c r="E11" s="213" t="s">
        <v>104</v>
      </c>
      <c r="F11" s="257">
        <v>12</v>
      </c>
      <c r="G11" s="154">
        <v>1162173000</v>
      </c>
    </row>
    <row r="12" spans="1:7" ht="47.25" x14ac:dyDescent="0.25">
      <c r="A12" s="217" t="s">
        <v>198</v>
      </c>
      <c r="B12" s="216" t="s">
        <v>209</v>
      </c>
      <c r="C12" s="211">
        <v>822</v>
      </c>
      <c r="D12" s="213" t="s">
        <v>102</v>
      </c>
      <c r="E12" s="213" t="s">
        <v>104</v>
      </c>
      <c r="F12" s="257">
        <v>12</v>
      </c>
      <c r="G12" s="214">
        <v>37440000.000000007</v>
      </c>
    </row>
    <row r="13" spans="1:7" x14ac:dyDescent="0.25">
      <c r="A13" s="217" t="s">
        <v>199</v>
      </c>
      <c r="B13" s="222" t="s">
        <v>294</v>
      </c>
      <c r="C13" s="211">
        <v>822</v>
      </c>
      <c r="D13" s="213" t="s">
        <v>102</v>
      </c>
      <c r="E13" s="213" t="s">
        <v>104</v>
      </c>
      <c r="F13" s="257">
        <v>12</v>
      </c>
      <c r="G13" s="152">
        <v>499366301</v>
      </c>
    </row>
    <row r="14" spans="1:7" ht="31.5" x14ac:dyDescent="0.25">
      <c r="A14" s="217" t="s">
        <v>200</v>
      </c>
      <c r="B14" s="231" t="s">
        <v>160</v>
      </c>
      <c r="C14" s="211">
        <v>822</v>
      </c>
      <c r="D14" s="213" t="s">
        <v>102</v>
      </c>
      <c r="E14" s="213" t="s">
        <v>104</v>
      </c>
      <c r="F14" s="180">
        <v>18</v>
      </c>
      <c r="G14" s="154">
        <v>423400000</v>
      </c>
    </row>
  </sheetData>
  <mergeCells count="3">
    <mergeCell ref="A1:G1"/>
    <mergeCell ref="A2:G2"/>
    <mergeCell ref="F3:G3"/>
  </mergeCells>
  <pageMargins left="0.48" right="0.42"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G14"/>
  <sheetViews>
    <sheetView workbookViewId="0">
      <selection activeCell="F11" sqref="F11:F12"/>
    </sheetView>
  </sheetViews>
  <sheetFormatPr defaultRowHeight="18.75" x14ac:dyDescent="0.3"/>
  <cols>
    <col min="1" max="1" width="5.42578125" style="56" customWidth="1"/>
    <col min="2" max="2" width="36.140625" style="56" customWidth="1"/>
    <col min="3" max="3" width="9.140625" style="56"/>
    <col min="4" max="4" width="8" style="56" customWidth="1"/>
    <col min="5" max="5" width="9.140625" style="56"/>
    <col min="6" max="6" width="8.28515625" style="56" customWidth="1"/>
    <col min="7" max="7" width="17.42578125" style="228" customWidth="1"/>
    <col min="8" max="16384" width="9.140625" style="56"/>
  </cols>
  <sheetData>
    <row r="1" spans="1:7" s="55" customFormat="1" ht="51.75" customHeight="1" x14ac:dyDescent="0.25">
      <c r="A1" s="301" t="s">
        <v>123</v>
      </c>
      <c r="B1" s="302"/>
      <c r="C1" s="302"/>
      <c r="D1" s="302"/>
      <c r="E1" s="302"/>
      <c r="F1" s="302"/>
      <c r="G1" s="302"/>
    </row>
    <row r="2" spans="1:7" s="64" customFormat="1" ht="24" customHeight="1" x14ac:dyDescent="0.25">
      <c r="A2" s="299" t="str">
        <f>+'TH MTH'!A2:G2</f>
        <v>(Kèm theo Quyết định số 815/QĐ-UBND ngày 05  tháng 11 năm 2025 của UBND xã)</v>
      </c>
      <c r="B2" s="299"/>
      <c r="C2" s="299"/>
      <c r="D2" s="299"/>
      <c r="E2" s="299"/>
      <c r="F2" s="299"/>
      <c r="G2" s="299"/>
    </row>
    <row r="3" spans="1:7" s="65" customFormat="1" ht="24" customHeight="1" x14ac:dyDescent="0.25">
      <c r="A3" s="65" t="s">
        <v>281</v>
      </c>
      <c r="F3" s="300" t="s">
        <v>93</v>
      </c>
      <c r="G3" s="300"/>
    </row>
    <row r="4" spans="1:7" s="58" customFormat="1" ht="49.5" customHeight="1" x14ac:dyDescent="0.25">
      <c r="A4" s="116" t="s">
        <v>2</v>
      </c>
      <c r="B4" s="116" t="s">
        <v>3</v>
      </c>
      <c r="C4" s="116" t="s">
        <v>87</v>
      </c>
      <c r="D4" s="116" t="s">
        <v>88</v>
      </c>
      <c r="E4" s="116" t="s">
        <v>89</v>
      </c>
      <c r="F4" s="116" t="s">
        <v>90</v>
      </c>
      <c r="G4" s="227" t="s">
        <v>91</v>
      </c>
    </row>
    <row r="5" spans="1:7" s="64" customFormat="1" ht="21" customHeight="1" x14ac:dyDescent="0.25">
      <c r="A5" s="117"/>
      <c r="B5" s="97" t="s">
        <v>94</v>
      </c>
      <c r="C5" s="117"/>
      <c r="D5" s="117"/>
      <c r="E5" s="117"/>
      <c r="F5" s="117"/>
      <c r="G5" s="150">
        <f>+G6</f>
        <v>7047452000</v>
      </c>
    </row>
    <row r="6" spans="1:7" s="65" customFormat="1" ht="21" customHeight="1" x14ac:dyDescent="0.25">
      <c r="A6" s="117" t="s">
        <v>7</v>
      </c>
      <c r="B6" s="97" t="s">
        <v>101</v>
      </c>
      <c r="C6" s="117"/>
      <c r="D6" s="117"/>
      <c r="E6" s="117"/>
      <c r="F6" s="117"/>
      <c r="G6" s="150">
        <f>+G7+G8</f>
        <v>7047452000</v>
      </c>
    </row>
    <row r="7" spans="1:7" s="64" customFormat="1" ht="23.25" customHeight="1" x14ac:dyDescent="0.25">
      <c r="A7" s="99">
        <v>1</v>
      </c>
      <c r="B7" s="100" t="s">
        <v>92</v>
      </c>
      <c r="C7" s="99">
        <v>822</v>
      </c>
      <c r="D7" s="68" t="s">
        <v>102</v>
      </c>
      <c r="E7" s="68" t="s">
        <v>104</v>
      </c>
      <c r="F7" s="99">
        <v>13</v>
      </c>
      <c r="G7" s="151">
        <v>5804600000</v>
      </c>
    </row>
    <row r="8" spans="1:7" s="55" customFormat="1" x14ac:dyDescent="0.25">
      <c r="A8" s="99">
        <v>2</v>
      </c>
      <c r="B8" s="257" t="s">
        <v>143</v>
      </c>
      <c r="C8" s="257"/>
      <c r="D8" s="257"/>
      <c r="E8" s="257"/>
      <c r="F8" s="257"/>
      <c r="G8" s="280">
        <f>+G9+G11+G12+G13</f>
        <v>1242852000</v>
      </c>
    </row>
    <row r="9" spans="1:7" s="55" customFormat="1" ht="31.5" x14ac:dyDescent="0.25">
      <c r="A9" s="99" t="s">
        <v>169</v>
      </c>
      <c r="B9" s="216" t="s">
        <v>290</v>
      </c>
      <c r="C9" s="99">
        <v>822</v>
      </c>
      <c r="D9" s="68" t="s">
        <v>102</v>
      </c>
      <c r="E9" s="68" t="s">
        <v>104</v>
      </c>
      <c r="F9" s="257">
        <v>12</v>
      </c>
      <c r="G9" s="280">
        <f>+G10</f>
        <v>268800000</v>
      </c>
    </row>
    <row r="10" spans="1:7" s="285" customFormat="1" x14ac:dyDescent="0.25">
      <c r="A10" s="103" t="s">
        <v>68</v>
      </c>
      <c r="B10" s="219" t="s">
        <v>202</v>
      </c>
      <c r="C10" s="262"/>
      <c r="D10" s="262"/>
      <c r="E10" s="262"/>
      <c r="F10" s="262"/>
      <c r="G10" s="94">
        <v>268800000</v>
      </c>
    </row>
    <row r="11" spans="1:7" s="55" customFormat="1" ht="47.25" x14ac:dyDescent="0.25">
      <c r="A11" s="99" t="s">
        <v>195</v>
      </c>
      <c r="B11" s="216" t="s">
        <v>289</v>
      </c>
      <c r="C11" s="99">
        <v>822</v>
      </c>
      <c r="D11" s="68" t="s">
        <v>102</v>
      </c>
      <c r="E11" s="68" t="s">
        <v>104</v>
      </c>
      <c r="F11" s="257">
        <v>12</v>
      </c>
      <c r="G11" s="154">
        <v>570000000</v>
      </c>
    </row>
    <row r="12" spans="1:7" s="55" customFormat="1" ht="47.25" x14ac:dyDescent="0.25">
      <c r="A12" s="99" t="s">
        <v>198</v>
      </c>
      <c r="B12" s="224" t="s">
        <v>209</v>
      </c>
      <c r="C12" s="99">
        <v>822</v>
      </c>
      <c r="D12" s="68" t="s">
        <v>102</v>
      </c>
      <c r="E12" s="68" t="s">
        <v>104</v>
      </c>
      <c r="F12" s="257">
        <v>12</v>
      </c>
      <c r="G12" s="214">
        <v>29952000</v>
      </c>
    </row>
    <row r="13" spans="1:7" s="55" customFormat="1" ht="31.5" x14ac:dyDescent="0.25">
      <c r="A13" s="99" t="s">
        <v>199</v>
      </c>
      <c r="B13" s="231" t="s">
        <v>160</v>
      </c>
      <c r="C13" s="99">
        <v>822</v>
      </c>
      <c r="D13" s="68" t="s">
        <v>102</v>
      </c>
      <c r="E13" s="68" t="s">
        <v>104</v>
      </c>
      <c r="F13" s="257">
        <v>18</v>
      </c>
      <c r="G13" s="286">
        <v>374100000</v>
      </c>
    </row>
    <row r="14" spans="1:7" x14ac:dyDescent="0.3">
      <c r="A14" s="58"/>
      <c r="B14" s="58"/>
      <c r="C14" s="58"/>
      <c r="D14" s="58"/>
      <c r="E14" s="58"/>
      <c r="F14" s="58"/>
      <c r="G14" s="229"/>
    </row>
  </sheetData>
  <mergeCells count="3">
    <mergeCell ref="A1:G1"/>
    <mergeCell ref="A2:G2"/>
    <mergeCell ref="F3:G3"/>
  </mergeCells>
  <pageMargins left="0.44" right="0.7" top="0.75" bottom="0.75" header="0.3" footer="0.3"/>
  <pageSetup paperSize="9" scale="95"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G14"/>
  <sheetViews>
    <sheetView workbookViewId="0">
      <selection activeCell="F11" sqref="F11:F12"/>
    </sheetView>
  </sheetViews>
  <sheetFormatPr defaultRowHeight="18.75" x14ac:dyDescent="0.3"/>
  <cols>
    <col min="1" max="1" width="5.42578125" style="56" customWidth="1"/>
    <col min="2" max="2" width="36.140625" style="56" customWidth="1"/>
    <col min="3" max="3" width="9.140625" style="56"/>
    <col min="4" max="4" width="8" style="56" customWidth="1"/>
    <col min="5" max="5" width="9.140625" style="56"/>
    <col min="6" max="6" width="8.28515625" style="56" customWidth="1"/>
    <col min="7" max="7" width="17.42578125" style="228" customWidth="1"/>
    <col min="8" max="16384" width="9.140625" style="56"/>
  </cols>
  <sheetData>
    <row r="1" spans="1:7" s="55" customFormat="1" ht="51.75" customHeight="1" x14ac:dyDescent="0.25">
      <c r="A1" s="301" t="s">
        <v>123</v>
      </c>
      <c r="B1" s="302"/>
      <c r="C1" s="302"/>
      <c r="D1" s="302"/>
      <c r="E1" s="302"/>
      <c r="F1" s="302"/>
      <c r="G1" s="302"/>
    </row>
    <row r="2" spans="1:7" s="64" customFormat="1" ht="24" customHeight="1" x14ac:dyDescent="0.25">
      <c r="A2" s="299" t="str">
        <f>+'TH MTH'!A2:G2</f>
        <v>(Kèm theo Quyết định số 815/QĐ-UBND ngày 05  tháng 11 năm 2025 của UBND xã)</v>
      </c>
      <c r="B2" s="299"/>
      <c r="C2" s="299"/>
      <c r="D2" s="299"/>
      <c r="E2" s="299"/>
      <c r="F2" s="299"/>
      <c r="G2" s="299"/>
    </row>
    <row r="3" spans="1:7" s="65" customFormat="1" ht="24" customHeight="1" x14ac:dyDescent="0.25">
      <c r="A3" s="65" t="s">
        <v>282</v>
      </c>
      <c r="F3" s="300" t="s">
        <v>93</v>
      </c>
      <c r="G3" s="300"/>
    </row>
    <row r="4" spans="1:7" s="58" customFormat="1" ht="49.5" customHeight="1" x14ac:dyDescent="0.25">
      <c r="A4" s="116" t="s">
        <v>2</v>
      </c>
      <c r="B4" s="116" t="s">
        <v>3</v>
      </c>
      <c r="C4" s="116" t="s">
        <v>87</v>
      </c>
      <c r="D4" s="116" t="s">
        <v>88</v>
      </c>
      <c r="E4" s="116" t="s">
        <v>89</v>
      </c>
      <c r="F4" s="116" t="s">
        <v>90</v>
      </c>
      <c r="G4" s="227" t="s">
        <v>91</v>
      </c>
    </row>
    <row r="5" spans="1:7" s="64" customFormat="1" ht="21" customHeight="1" x14ac:dyDescent="0.25">
      <c r="A5" s="117"/>
      <c r="B5" s="97" t="s">
        <v>94</v>
      </c>
      <c r="C5" s="117"/>
      <c r="D5" s="117"/>
      <c r="E5" s="117"/>
      <c r="F5" s="117"/>
      <c r="G5" s="150">
        <f>+G6</f>
        <v>5215940000</v>
      </c>
    </row>
    <row r="6" spans="1:7" s="65" customFormat="1" ht="21" customHeight="1" x14ac:dyDescent="0.25">
      <c r="A6" s="117" t="s">
        <v>7</v>
      </c>
      <c r="B6" s="97" t="s">
        <v>101</v>
      </c>
      <c r="C6" s="117"/>
      <c r="D6" s="117"/>
      <c r="E6" s="117"/>
      <c r="F6" s="117"/>
      <c r="G6" s="150">
        <f>+G7+G8</f>
        <v>5215940000</v>
      </c>
    </row>
    <row r="7" spans="1:7" s="64" customFormat="1" ht="23.25" customHeight="1" x14ac:dyDescent="0.25">
      <c r="A7" s="99">
        <v>1</v>
      </c>
      <c r="B7" s="100" t="s">
        <v>92</v>
      </c>
      <c r="C7" s="99">
        <v>822</v>
      </c>
      <c r="D7" s="68" t="s">
        <v>102</v>
      </c>
      <c r="E7" s="68" t="s">
        <v>104</v>
      </c>
      <c r="F7" s="99">
        <v>13</v>
      </c>
      <c r="G7" s="151">
        <v>4241399999.9999995</v>
      </c>
    </row>
    <row r="8" spans="1:7" s="55" customFormat="1" x14ac:dyDescent="0.25">
      <c r="A8" s="99">
        <v>2</v>
      </c>
      <c r="B8" s="257" t="s">
        <v>143</v>
      </c>
      <c r="C8" s="257"/>
      <c r="D8" s="257"/>
      <c r="E8" s="257"/>
      <c r="F8" s="257"/>
      <c r="G8" s="280">
        <f>+G9+G11+G12+G13</f>
        <v>974540000</v>
      </c>
    </row>
    <row r="9" spans="1:7" s="55" customFormat="1" ht="31.5" x14ac:dyDescent="0.25">
      <c r="A9" s="99" t="s">
        <v>169</v>
      </c>
      <c r="B9" s="216" t="s">
        <v>290</v>
      </c>
      <c r="C9" s="99">
        <v>822</v>
      </c>
      <c r="D9" s="68" t="s">
        <v>102</v>
      </c>
      <c r="E9" s="68" t="s">
        <v>104</v>
      </c>
      <c r="F9" s="257">
        <v>12</v>
      </c>
      <c r="G9" s="280">
        <f>+G10</f>
        <v>189000000</v>
      </c>
    </row>
    <row r="10" spans="1:7" s="285" customFormat="1" x14ac:dyDescent="0.25">
      <c r="A10" s="103" t="s">
        <v>68</v>
      </c>
      <c r="B10" s="219" t="s">
        <v>202</v>
      </c>
      <c r="C10" s="262"/>
      <c r="D10" s="262"/>
      <c r="E10" s="262"/>
      <c r="F10" s="262"/>
      <c r="G10" s="94">
        <v>189000000</v>
      </c>
    </row>
    <row r="11" spans="1:7" s="55" customFormat="1" ht="47.25" x14ac:dyDescent="0.25">
      <c r="A11" s="99" t="s">
        <v>195</v>
      </c>
      <c r="B11" s="216" t="s">
        <v>289</v>
      </c>
      <c r="C11" s="99">
        <v>822</v>
      </c>
      <c r="D11" s="68" t="s">
        <v>102</v>
      </c>
      <c r="E11" s="68" t="s">
        <v>104</v>
      </c>
      <c r="F11" s="257">
        <v>12</v>
      </c>
      <c r="G11" s="154">
        <v>470000000</v>
      </c>
    </row>
    <row r="12" spans="1:7" s="55" customFormat="1" ht="47.25" x14ac:dyDescent="0.25">
      <c r="A12" s="99" t="s">
        <v>198</v>
      </c>
      <c r="B12" s="224" t="s">
        <v>209</v>
      </c>
      <c r="C12" s="99">
        <v>822</v>
      </c>
      <c r="D12" s="68" t="s">
        <v>102</v>
      </c>
      <c r="E12" s="68" t="s">
        <v>104</v>
      </c>
      <c r="F12" s="257">
        <v>12</v>
      </c>
      <c r="G12" s="214">
        <v>37440000.000000007</v>
      </c>
    </row>
    <row r="13" spans="1:7" s="55" customFormat="1" ht="31.5" x14ac:dyDescent="0.25">
      <c r="A13" s="99" t="s">
        <v>199</v>
      </c>
      <c r="B13" s="231" t="s">
        <v>160</v>
      </c>
      <c r="C13" s="99">
        <v>822</v>
      </c>
      <c r="D13" s="68" t="s">
        <v>102</v>
      </c>
      <c r="E13" s="68" t="s">
        <v>104</v>
      </c>
      <c r="F13" s="257">
        <v>18</v>
      </c>
      <c r="G13" s="286">
        <v>278100000</v>
      </c>
    </row>
    <row r="14" spans="1:7" x14ac:dyDescent="0.3">
      <c r="A14" s="58"/>
      <c r="B14" s="58"/>
      <c r="C14" s="58"/>
      <c r="D14" s="58"/>
      <c r="E14" s="58"/>
      <c r="F14" s="58"/>
      <c r="G14" s="229"/>
    </row>
  </sheetData>
  <mergeCells count="3">
    <mergeCell ref="A1:G1"/>
    <mergeCell ref="A2:G2"/>
    <mergeCell ref="F3:G3"/>
  </mergeCells>
  <pageMargins left="0.44" right="0.7" top="0.75" bottom="0.75" header="0.3" footer="0.3"/>
  <pageSetup paperSize="9" scale="95"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G14"/>
  <sheetViews>
    <sheetView workbookViewId="0">
      <selection activeCell="F11" sqref="F11:F12"/>
    </sheetView>
  </sheetViews>
  <sheetFormatPr defaultRowHeight="18.75" x14ac:dyDescent="0.3"/>
  <cols>
    <col min="1" max="1" width="5.42578125" style="56" customWidth="1"/>
    <col min="2" max="2" width="36.140625" style="56" customWidth="1"/>
    <col min="3" max="3" width="9.140625" style="56"/>
    <col min="4" max="4" width="8" style="56" customWidth="1"/>
    <col min="5" max="5" width="9.140625" style="56"/>
    <col min="6" max="6" width="8.28515625" style="56" customWidth="1"/>
    <col min="7" max="7" width="17.42578125" style="228" customWidth="1"/>
    <col min="8" max="16384" width="9.140625" style="56"/>
  </cols>
  <sheetData>
    <row r="1" spans="1:7" s="55" customFormat="1" ht="51.75" customHeight="1" x14ac:dyDescent="0.25">
      <c r="A1" s="301" t="s">
        <v>123</v>
      </c>
      <c r="B1" s="302"/>
      <c r="C1" s="302"/>
      <c r="D1" s="302"/>
      <c r="E1" s="302"/>
      <c r="F1" s="302"/>
      <c r="G1" s="302"/>
    </row>
    <row r="2" spans="1:7" s="64" customFormat="1" ht="24" customHeight="1" x14ac:dyDescent="0.25">
      <c r="A2" s="299" t="str">
        <f>+'TH MTH'!A2:G2</f>
        <v>(Kèm theo Quyết định số 815/QĐ-UBND ngày 05  tháng 11 năm 2025 của UBND xã)</v>
      </c>
      <c r="B2" s="299"/>
      <c r="C2" s="299"/>
      <c r="D2" s="299"/>
      <c r="E2" s="299"/>
      <c r="F2" s="299"/>
      <c r="G2" s="299"/>
    </row>
    <row r="3" spans="1:7" s="65" customFormat="1" ht="24" customHeight="1" x14ac:dyDescent="0.25">
      <c r="A3" s="65" t="s">
        <v>283</v>
      </c>
      <c r="F3" s="300" t="s">
        <v>93</v>
      </c>
      <c r="G3" s="300"/>
    </row>
    <row r="4" spans="1:7" s="58" customFormat="1" ht="49.5" customHeight="1" x14ac:dyDescent="0.25">
      <c r="A4" s="116" t="s">
        <v>2</v>
      </c>
      <c r="B4" s="116" t="s">
        <v>3</v>
      </c>
      <c r="C4" s="116" t="s">
        <v>87</v>
      </c>
      <c r="D4" s="116" t="s">
        <v>88</v>
      </c>
      <c r="E4" s="116" t="s">
        <v>89</v>
      </c>
      <c r="F4" s="116" t="s">
        <v>90</v>
      </c>
      <c r="G4" s="227" t="s">
        <v>91</v>
      </c>
    </row>
    <row r="5" spans="1:7" s="64" customFormat="1" ht="21" customHeight="1" x14ac:dyDescent="0.25">
      <c r="A5" s="117"/>
      <c r="B5" s="97" t="s">
        <v>94</v>
      </c>
      <c r="C5" s="117"/>
      <c r="D5" s="117"/>
      <c r="E5" s="117"/>
      <c r="F5" s="117"/>
      <c r="G5" s="150">
        <f>+G6</f>
        <v>5991688000</v>
      </c>
    </row>
    <row r="6" spans="1:7" s="65" customFormat="1" ht="21" customHeight="1" x14ac:dyDescent="0.25">
      <c r="A6" s="117" t="s">
        <v>7</v>
      </c>
      <c r="B6" s="97" t="s">
        <v>101</v>
      </c>
      <c r="C6" s="117"/>
      <c r="D6" s="117"/>
      <c r="E6" s="117"/>
      <c r="F6" s="117"/>
      <c r="G6" s="150">
        <f>+G7+G8</f>
        <v>5991688000</v>
      </c>
    </row>
    <row r="7" spans="1:7" s="64" customFormat="1" ht="23.25" customHeight="1" x14ac:dyDescent="0.25">
      <c r="A7" s="99">
        <v>1</v>
      </c>
      <c r="B7" s="100" t="s">
        <v>92</v>
      </c>
      <c r="C7" s="99">
        <v>822</v>
      </c>
      <c r="D7" s="68" t="s">
        <v>102</v>
      </c>
      <c r="E7" s="68" t="s">
        <v>104</v>
      </c>
      <c r="F7" s="99">
        <v>13</v>
      </c>
      <c r="G7" s="151">
        <v>4686300000</v>
      </c>
    </row>
    <row r="8" spans="1:7" s="55" customFormat="1" x14ac:dyDescent="0.25">
      <c r="A8" s="99">
        <v>2</v>
      </c>
      <c r="B8" s="257" t="s">
        <v>143</v>
      </c>
      <c r="C8" s="257"/>
      <c r="D8" s="257"/>
      <c r="E8" s="257"/>
      <c r="F8" s="257"/>
      <c r="G8" s="280">
        <f>+G9+G11+G12+G13</f>
        <v>1305388000</v>
      </c>
    </row>
    <row r="9" spans="1:7" s="55" customFormat="1" ht="31.5" x14ac:dyDescent="0.25">
      <c r="A9" s="99" t="s">
        <v>169</v>
      </c>
      <c r="B9" s="216" t="s">
        <v>290</v>
      </c>
      <c r="C9" s="99">
        <v>822</v>
      </c>
      <c r="D9" s="68" t="s">
        <v>102</v>
      </c>
      <c r="E9" s="68" t="s">
        <v>104</v>
      </c>
      <c r="F9" s="257">
        <v>12</v>
      </c>
      <c r="G9" s="280">
        <f>+G10</f>
        <v>282599999.99999994</v>
      </c>
    </row>
    <row r="10" spans="1:7" s="285" customFormat="1" x14ac:dyDescent="0.25">
      <c r="A10" s="103" t="s">
        <v>68</v>
      </c>
      <c r="B10" s="219" t="s">
        <v>202</v>
      </c>
      <c r="C10" s="262"/>
      <c r="D10" s="262"/>
      <c r="E10" s="262"/>
      <c r="F10" s="262"/>
      <c r="G10" s="94">
        <v>282599999.99999994</v>
      </c>
    </row>
    <row r="11" spans="1:7" s="55" customFormat="1" ht="47.25" x14ac:dyDescent="0.25">
      <c r="A11" s="99" t="s">
        <v>195</v>
      </c>
      <c r="B11" s="216" t="s">
        <v>289</v>
      </c>
      <c r="C11" s="99">
        <v>822</v>
      </c>
      <c r="D11" s="68" t="s">
        <v>102</v>
      </c>
      <c r="E11" s="68" t="s">
        <v>104</v>
      </c>
      <c r="F11" s="257">
        <v>12</v>
      </c>
      <c r="G11" s="154">
        <v>670000000</v>
      </c>
    </row>
    <row r="12" spans="1:7" s="55" customFormat="1" ht="47.25" x14ac:dyDescent="0.25">
      <c r="A12" s="99" t="s">
        <v>198</v>
      </c>
      <c r="B12" s="224" t="s">
        <v>209</v>
      </c>
      <c r="C12" s="99">
        <v>822</v>
      </c>
      <c r="D12" s="68" t="s">
        <v>102</v>
      </c>
      <c r="E12" s="68" t="s">
        <v>104</v>
      </c>
      <c r="F12" s="257">
        <v>12</v>
      </c>
      <c r="G12" s="214">
        <v>7488000</v>
      </c>
    </row>
    <row r="13" spans="1:7" s="55" customFormat="1" ht="31.5" x14ac:dyDescent="0.25">
      <c r="A13" s="99" t="s">
        <v>199</v>
      </c>
      <c r="B13" s="231" t="s">
        <v>160</v>
      </c>
      <c r="C13" s="99">
        <v>822</v>
      </c>
      <c r="D13" s="68" t="s">
        <v>102</v>
      </c>
      <c r="E13" s="68" t="s">
        <v>104</v>
      </c>
      <c r="F13" s="257">
        <v>18</v>
      </c>
      <c r="G13" s="286">
        <v>345300000</v>
      </c>
    </row>
    <row r="14" spans="1:7" x14ac:dyDescent="0.3">
      <c r="A14" s="58"/>
      <c r="B14" s="58"/>
      <c r="C14" s="58"/>
      <c r="D14" s="58"/>
      <c r="E14" s="58"/>
      <c r="F14" s="58"/>
      <c r="G14" s="229"/>
    </row>
  </sheetData>
  <mergeCells count="3">
    <mergeCell ref="A1:G1"/>
    <mergeCell ref="A2:G2"/>
    <mergeCell ref="F3:G3"/>
  </mergeCells>
  <pageMargins left="0.44" right="0.7" top="0.75" bottom="0.75" header="0.3" footer="0.3"/>
  <pageSetup paperSize="9" scale="95"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G14"/>
  <sheetViews>
    <sheetView workbookViewId="0">
      <selection activeCell="F11" sqref="F11:F12"/>
    </sheetView>
  </sheetViews>
  <sheetFormatPr defaultRowHeight="18.75" x14ac:dyDescent="0.3"/>
  <cols>
    <col min="1" max="1" width="5.42578125" style="56" customWidth="1"/>
    <col min="2" max="2" width="36.140625" style="56" customWidth="1"/>
    <col min="3" max="3" width="9.140625" style="56"/>
    <col min="4" max="4" width="8" style="56" customWidth="1"/>
    <col min="5" max="5" width="9.140625" style="56"/>
    <col min="6" max="6" width="8.28515625" style="56" customWidth="1"/>
    <col min="7" max="7" width="17.42578125" style="228" customWidth="1"/>
    <col min="8" max="16384" width="9.140625" style="56"/>
  </cols>
  <sheetData>
    <row r="1" spans="1:7" s="55" customFormat="1" ht="51.75" customHeight="1" x14ac:dyDescent="0.25">
      <c r="A1" s="301" t="s">
        <v>123</v>
      </c>
      <c r="B1" s="302"/>
      <c r="C1" s="302"/>
      <c r="D1" s="302"/>
      <c r="E1" s="302"/>
      <c r="F1" s="302"/>
      <c r="G1" s="302"/>
    </row>
    <row r="2" spans="1:7" s="64" customFormat="1" ht="24" customHeight="1" x14ac:dyDescent="0.25">
      <c r="A2" s="299" t="str">
        <f>+'TH MTH'!A2:G2</f>
        <v>(Kèm theo Quyết định số 815/QĐ-UBND ngày 05  tháng 11 năm 2025 của UBND xã)</v>
      </c>
      <c r="B2" s="299"/>
      <c r="C2" s="299"/>
      <c r="D2" s="299"/>
      <c r="E2" s="299"/>
      <c r="F2" s="299"/>
      <c r="G2" s="299"/>
    </row>
    <row r="3" spans="1:7" s="65" customFormat="1" ht="24" customHeight="1" x14ac:dyDescent="0.25">
      <c r="A3" s="65" t="s">
        <v>284</v>
      </c>
      <c r="F3" s="300" t="s">
        <v>93</v>
      </c>
      <c r="G3" s="300"/>
    </row>
    <row r="4" spans="1:7" s="58" customFormat="1" ht="49.5" customHeight="1" x14ac:dyDescent="0.25">
      <c r="A4" s="116" t="s">
        <v>2</v>
      </c>
      <c r="B4" s="116" t="s">
        <v>3</v>
      </c>
      <c r="C4" s="116" t="s">
        <v>87</v>
      </c>
      <c r="D4" s="116" t="s">
        <v>88</v>
      </c>
      <c r="E4" s="116" t="s">
        <v>89</v>
      </c>
      <c r="F4" s="116" t="s">
        <v>90</v>
      </c>
      <c r="G4" s="227" t="s">
        <v>91</v>
      </c>
    </row>
    <row r="5" spans="1:7" s="64" customFormat="1" ht="21" customHeight="1" x14ac:dyDescent="0.25">
      <c r="A5" s="117"/>
      <c r="B5" s="97" t="s">
        <v>94</v>
      </c>
      <c r="C5" s="117"/>
      <c r="D5" s="117"/>
      <c r="E5" s="117"/>
      <c r="F5" s="117"/>
      <c r="G5" s="150">
        <f>+G6</f>
        <v>4192500000.0000005</v>
      </c>
    </row>
    <row r="6" spans="1:7" s="65" customFormat="1" ht="21" customHeight="1" x14ac:dyDescent="0.25">
      <c r="A6" s="117" t="s">
        <v>7</v>
      </c>
      <c r="B6" s="97" t="s">
        <v>101</v>
      </c>
      <c r="C6" s="117"/>
      <c r="D6" s="117"/>
      <c r="E6" s="117"/>
      <c r="F6" s="117"/>
      <c r="G6" s="150">
        <f>+G7+G8</f>
        <v>4192500000.0000005</v>
      </c>
    </row>
    <row r="7" spans="1:7" s="64" customFormat="1" ht="23.25" customHeight="1" x14ac:dyDescent="0.25">
      <c r="A7" s="99">
        <v>1</v>
      </c>
      <c r="B7" s="100" t="s">
        <v>92</v>
      </c>
      <c r="C7" s="99">
        <v>822</v>
      </c>
      <c r="D7" s="68" t="s">
        <v>102</v>
      </c>
      <c r="E7" s="68" t="s">
        <v>104</v>
      </c>
      <c r="F7" s="99">
        <v>13</v>
      </c>
      <c r="G7" s="151">
        <v>3586000000.0000005</v>
      </c>
    </row>
    <row r="8" spans="1:7" s="55" customFormat="1" x14ac:dyDescent="0.25">
      <c r="A8" s="99">
        <v>2</v>
      </c>
      <c r="B8" s="257" t="s">
        <v>143</v>
      </c>
      <c r="C8" s="257"/>
      <c r="D8" s="257"/>
      <c r="E8" s="257"/>
      <c r="F8" s="257"/>
      <c r="G8" s="280">
        <f>+G9+G11+G12+G13</f>
        <v>606500000</v>
      </c>
    </row>
    <row r="9" spans="1:7" s="55" customFormat="1" ht="31.5" x14ac:dyDescent="0.25">
      <c r="A9" s="99" t="s">
        <v>169</v>
      </c>
      <c r="B9" s="216" t="s">
        <v>290</v>
      </c>
      <c r="C9" s="99">
        <v>822</v>
      </c>
      <c r="D9" s="68" t="s">
        <v>102</v>
      </c>
      <c r="E9" s="68" t="s">
        <v>104</v>
      </c>
      <c r="F9" s="257">
        <v>12</v>
      </c>
      <c r="G9" s="280">
        <f>+G10</f>
        <v>45600000</v>
      </c>
    </row>
    <row r="10" spans="1:7" s="285" customFormat="1" x14ac:dyDescent="0.25">
      <c r="A10" s="103" t="s">
        <v>68</v>
      </c>
      <c r="B10" s="219" t="s">
        <v>202</v>
      </c>
      <c r="C10" s="262"/>
      <c r="D10" s="262"/>
      <c r="E10" s="262"/>
      <c r="F10" s="262"/>
      <c r="G10" s="94">
        <v>45600000</v>
      </c>
    </row>
    <row r="11" spans="1:7" s="55" customFormat="1" ht="47.25" x14ac:dyDescent="0.25">
      <c r="A11" s="99" t="s">
        <v>195</v>
      </c>
      <c r="B11" s="216" t="s">
        <v>289</v>
      </c>
      <c r="C11" s="99">
        <v>822</v>
      </c>
      <c r="D11" s="68" t="s">
        <v>102</v>
      </c>
      <c r="E11" s="68" t="s">
        <v>104</v>
      </c>
      <c r="F11" s="257">
        <v>12</v>
      </c>
      <c r="G11" s="154">
        <v>240000000</v>
      </c>
    </row>
    <row r="12" spans="1:7" s="55" customFormat="1" ht="31.5" x14ac:dyDescent="0.25">
      <c r="A12" s="99" t="s">
        <v>198</v>
      </c>
      <c r="B12" s="224" t="s">
        <v>295</v>
      </c>
      <c r="C12" s="99">
        <v>822</v>
      </c>
      <c r="D12" s="68" t="s">
        <v>102</v>
      </c>
      <c r="E12" s="68" t="s">
        <v>104</v>
      </c>
      <c r="F12" s="257">
        <v>12</v>
      </c>
      <c r="G12" s="214">
        <v>6600000</v>
      </c>
    </row>
    <row r="13" spans="1:7" s="55" customFormat="1" ht="31.5" x14ac:dyDescent="0.25">
      <c r="A13" s="99" t="s">
        <v>199</v>
      </c>
      <c r="B13" s="231" t="s">
        <v>160</v>
      </c>
      <c r="C13" s="99">
        <v>822</v>
      </c>
      <c r="D13" s="68" t="s">
        <v>102</v>
      </c>
      <c r="E13" s="68" t="s">
        <v>104</v>
      </c>
      <c r="F13" s="257">
        <v>18</v>
      </c>
      <c r="G13" s="286">
        <v>314300000</v>
      </c>
    </row>
    <row r="14" spans="1:7" x14ac:dyDescent="0.3">
      <c r="A14" s="58"/>
      <c r="B14" s="58"/>
      <c r="C14" s="58"/>
      <c r="D14" s="58"/>
      <c r="E14" s="58"/>
      <c r="F14" s="58"/>
      <c r="G14" s="229"/>
    </row>
  </sheetData>
  <mergeCells count="3">
    <mergeCell ref="A1:G1"/>
    <mergeCell ref="A2:G2"/>
    <mergeCell ref="F3:G3"/>
  </mergeCells>
  <phoneticPr fontId="17" type="noConversion"/>
  <pageMargins left="0.44" right="0.7" top="0.75" bottom="0.75" header="0.3" footer="0.3"/>
  <pageSetup paperSize="9" scale="95"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16"/>
  <sheetViews>
    <sheetView workbookViewId="0">
      <selection activeCell="F13" sqref="F13"/>
    </sheetView>
  </sheetViews>
  <sheetFormatPr defaultRowHeight="18.75" x14ac:dyDescent="0.3"/>
  <cols>
    <col min="1" max="1" width="5.42578125" style="56" customWidth="1"/>
    <col min="2" max="2" width="36.140625" style="56" customWidth="1"/>
    <col min="3" max="3" width="9.140625" style="56"/>
    <col min="4" max="4" width="8" style="56" customWidth="1"/>
    <col min="5" max="5" width="9.140625" style="56"/>
    <col min="6" max="6" width="8.28515625" style="56" customWidth="1"/>
    <col min="7" max="7" width="15.28515625" style="84" customWidth="1"/>
    <col min="8" max="16384" width="9.140625" style="56"/>
  </cols>
  <sheetData>
    <row r="1" spans="1:8" s="55" customFormat="1" ht="40.15" customHeight="1" x14ac:dyDescent="0.25">
      <c r="A1" s="301" t="str">
        <f>'Chi cục thuế'!A1:G1</f>
        <v>BIỂU GIAO DỰ TOÁN KINH PHÍ NĂM 2025
 (THỜI GIAN THỰC HIỆN TỪ 01/7/2025 ĐẾN 31/12/2025)</v>
      </c>
      <c r="B1" s="302"/>
      <c r="C1" s="302"/>
      <c r="D1" s="302"/>
      <c r="E1" s="302"/>
      <c r="F1" s="302"/>
      <c r="G1" s="302"/>
    </row>
    <row r="2" spans="1:8" s="64" customFormat="1" ht="24" customHeight="1" x14ac:dyDescent="0.25">
      <c r="A2" s="299" t="s">
        <v>296</v>
      </c>
      <c r="B2" s="299"/>
      <c r="C2" s="299"/>
      <c r="D2" s="299"/>
      <c r="E2" s="299"/>
      <c r="F2" s="299"/>
      <c r="G2" s="299"/>
    </row>
    <row r="3" spans="1:8" s="65" customFormat="1" ht="24" customHeight="1" x14ac:dyDescent="0.25">
      <c r="A3" s="65" t="s">
        <v>86</v>
      </c>
      <c r="F3" s="300" t="s">
        <v>93</v>
      </c>
      <c r="G3" s="300"/>
    </row>
    <row r="4" spans="1:8" s="58" customFormat="1" ht="73.5" customHeight="1" x14ac:dyDescent="0.25">
      <c r="A4" s="57" t="s">
        <v>2</v>
      </c>
      <c r="B4" s="57" t="s">
        <v>3</v>
      </c>
      <c r="C4" s="57" t="s">
        <v>87</v>
      </c>
      <c r="D4" s="57" t="s">
        <v>88</v>
      </c>
      <c r="E4" s="57" t="s">
        <v>89</v>
      </c>
      <c r="F4" s="57" t="s">
        <v>90</v>
      </c>
      <c r="G4" s="75" t="s">
        <v>159</v>
      </c>
    </row>
    <row r="5" spans="1:8" s="58" customFormat="1" ht="21" customHeight="1" x14ac:dyDescent="0.25">
      <c r="A5" s="59"/>
      <c r="B5" s="60" t="s">
        <v>94</v>
      </c>
      <c r="C5" s="59"/>
      <c r="D5" s="59"/>
      <c r="E5" s="59"/>
      <c r="F5" s="59"/>
      <c r="G5" s="66">
        <f>+G6</f>
        <v>5316000000</v>
      </c>
    </row>
    <row r="6" spans="1:8" s="61" customFormat="1" ht="21" customHeight="1" x14ac:dyDescent="0.25">
      <c r="A6" s="59" t="s">
        <v>7</v>
      </c>
      <c r="B6" s="60" t="s">
        <v>100</v>
      </c>
      <c r="C6" s="59"/>
      <c r="D6" s="59"/>
      <c r="E6" s="59"/>
      <c r="F6" s="59"/>
      <c r="G6" s="66">
        <f>+G7+G8</f>
        <v>5316000000</v>
      </c>
    </row>
    <row r="7" spans="1:8" s="58" customFormat="1" ht="30" customHeight="1" x14ac:dyDescent="0.25">
      <c r="A7" s="62">
        <v>1</v>
      </c>
      <c r="B7" s="63" t="s">
        <v>229</v>
      </c>
      <c r="C7" s="62">
        <v>819</v>
      </c>
      <c r="D7" s="62">
        <v>340</v>
      </c>
      <c r="E7" s="62">
        <v>351</v>
      </c>
      <c r="F7" s="62">
        <v>13</v>
      </c>
      <c r="G7" s="67">
        <v>3486000000</v>
      </c>
    </row>
    <row r="8" spans="1:8" s="58" customFormat="1" ht="15.75" x14ac:dyDescent="0.25">
      <c r="A8" s="77">
        <v>2</v>
      </c>
      <c r="B8" s="63" t="s">
        <v>96</v>
      </c>
      <c r="C8" s="62"/>
      <c r="D8" s="62"/>
      <c r="E8" s="62"/>
      <c r="F8" s="77"/>
      <c r="G8" s="85">
        <f>+G9+G10+G11</f>
        <v>1830000000</v>
      </c>
    </row>
    <row r="9" spans="1:8" s="89" customFormat="1" x14ac:dyDescent="0.3">
      <c r="A9" s="79" t="s">
        <v>68</v>
      </c>
      <c r="B9" s="86" t="s">
        <v>156</v>
      </c>
      <c r="C9" s="79">
        <v>819</v>
      </c>
      <c r="D9" s="87">
        <v>340</v>
      </c>
      <c r="E9" s="79">
        <v>351</v>
      </c>
      <c r="F9" s="103">
        <v>12</v>
      </c>
      <c r="G9" s="88">
        <v>1612000000</v>
      </c>
    </row>
    <row r="10" spans="1:8" s="89" customFormat="1" ht="31.5" x14ac:dyDescent="0.3">
      <c r="A10" s="233" t="s">
        <v>68</v>
      </c>
      <c r="B10" s="234" t="s">
        <v>124</v>
      </c>
      <c r="C10" s="233">
        <v>819</v>
      </c>
      <c r="D10" s="235">
        <v>340</v>
      </c>
      <c r="E10" s="233">
        <v>351</v>
      </c>
      <c r="F10" s="103">
        <v>12</v>
      </c>
      <c r="G10" s="236">
        <v>14000000</v>
      </c>
    </row>
    <row r="11" spans="1:8" s="237" customFormat="1" ht="31.5" x14ac:dyDescent="0.25">
      <c r="A11" s="118" t="s">
        <v>68</v>
      </c>
      <c r="B11" s="90" t="s">
        <v>160</v>
      </c>
      <c r="C11" s="103">
        <v>819</v>
      </c>
      <c r="D11" s="87">
        <v>340</v>
      </c>
      <c r="E11" s="118">
        <v>351</v>
      </c>
      <c r="F11" s="118">
        <v>18</v>
      </c>
      <c r="G11" s="238">
        <v>204000000</v>
      </c>
    </row>
    <row r="13" spans="1:8" s="125" customFormat="1" ht="15.75" x14ac:dyDescent="0.25">
      <c r="A13" s="303" t="s">
        <v>225</v>
      </c>
      <c r="B13" s="303"/>
      <c r="H13" s="129"/>
    </row>
    <row r="14" spans="1:8" s="125" customFormat="1" ht="15.75" x14ac:dyDescent="0.25">
      <c r="A14" s="304" t="s">
        <v>226</v>
      </c>
      <c r="B14" s="304"/>
      <c r="C14" s="304"/>
      <c r="D14" s="304"/>
      <c r="E14" s="304"/>
      <c r="F14" s="304"/>
      <c r="G14" s="304"/>
      <c r="H14" s="129"/>
    </row>
    <row r="15" spans="1:8" s="125" customFormat="1" ht="36" customHeight="1" x14ac:dyDescent="0.25">
      <c r="A15" s="304" t="s">
        <v>227</v>
      </c>
      <c r="B15" s="304"/>
      <c r="C15" s="304"/>
      <c r="D15" s="304"/>
      <c r="E15" s="304"/>
      <c r="F15" s="304"/>
      <c r="G15" s="304"/>
      <c r="H15" s="129"/>
    </row>
    <row r="16" spans="1:8" s="125" customFormat="1" ht="19.149999999999999" customHeight="1" x14ac:dyDescent="0.25">
      <c r="B16" s="125" t="s">
        <v>228</v>
      </c>
    </row>
  </sheetData>
  <mergeCells count="6">
    <mergeCell ref="F3:G3"/>
    <mergeCell ref="A1:G1"/>
    <mergeCell ref="A2:G2"/>
    <mergeCell ref="A13:B13"/>
    <mergeCell ref="A14:G14"/>
    <mergeCell ref="A15:G15"/>
  </mergeCells>
  <pageMargins left="0.5" right="0.48"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G14"/>
  <sheetViews>
    <sheetView workbookViewId="0">
      <selection activeCell="F12" sqref="F12:F13"/>
    </sheetView>
  </sheetViews>
  <sheetFormatPr defaultRowHeight="18.75" x14ac:dyDescent="0.3"/>
  <cols>
    <col min="1" max="1" width="5.42578125" style="230" customWidth="1"/>
    <col min="2" max="2" width="36.140625" style="56" customWidth="1"/>
    <col min="3" max="3" width="9.140625" style="56"/>
    <col min="4" max="4" width="8" style="56" customWidth="1"/>
    <col min="5" max="5" width="9.140625" style="56"/>
    <col min="6" max="6" width="8.28515625" style="56" customWidth="1"/>
    <col min="7" max="7" width="18.5703125" style="56" customWidth="1"/>
    <col min="8" max="16384" width="9.140625" style="56"/>
  </cols>
  <sheetData>
    <row r="1" spans="1:7" s="55" customFormat="1" ht="38.25" customHeight="1" x14ac:dyDescent="0.25">
      <c r="A1" s="301" t="s">
        <v>123</v>
      </c>
      <c r="B1" s="302"/>
      <c r="C1" s="302"/>
      <c r="D1" s="302"/>
      <c r="E1" s="302"/>
      <c r="F1" s="302"/>
      <c r="G1" s="302"/>
    </row>
    <row r="2" spans="1:7" s="64" customFormat="1" ht="24" customHeight="1" x14ac:dyDescent="0.25">
      <c r="A2" s="299" t="str">
        <f>+'TH S1NS'!A2:G2</f>
        <v>(Kèm theo Quyết định số 815/QĐ-UBND ngày 05  tháng 11 năm 2025 của UBND xã)</v>
      </c>
      <c r="B2" s="299"/>
      <c r="C2" s="299"/>
      <c r="D2" s="299"/>
      <c r="E2" s="299"/>
      <c r="F2" s="299"/>
      <c r="G2" s="299"/>
    </row>
    <row r="3" spans="1:7" s="65" customFormat="1" ht="24" customHeight="1" x14ac:dyDescent="0.25">
      <c r="A3" s="81" t="s">
        <v>285</v>
      </c>
      <c r="F3" s="300" t="s">
        <v>93</v>
      </c>
      <c r="G3" s="300"/>
    </row>
    <row r="4" spans="1:7" s="58" customFormat="1" ht="49.5" customHeight="1" x14ac:dyDescent="0.25">
      <c r="A4" s="227" t="s">
        <v>2</v>
      </c>
      <c r="B4" s="227" t="s">
        <v>3</v>
      </c>
      <c r="C4" s="227" t="s">
        <v>87</v>
      </c>
      <c r="D4" s="227" t="s">
        <v>88</v>
      </c>
      <c r="E4" s="227" t="s">
        <v>89</v>
      </c>
      <c r="F4" s="227" t="s">
        <v>90</v>
      </c>
      <c r="G4" s="227" t="s">
        <v>91</v>
      </c>
    </row>
    <row r="5" spans="1:7" s="64" customFormat="1" ht="21" customHeight="1" x14ac:dyDescent="0.25">
      <c r="A5" s="209"/>
      <c r="B5" s="210" t="s">
        <v>94</v>
      </c>
      <c r="C5" s="209"/>
      <c r="D5" s="209"/>
      <c r="E5" s="209"/>
      <c r="F5" s="209"/>
      <c r="G5" s="150">
        <f>+G6</f>
        <v>6927388000.000001</v>
      </c>
    </row>
    <row r="6" spans="1:7" s="65" customFormat="1" ht="21" customHeight="1" x14ac:dyDescent="0.25">
      <c r="A6" s="209" t="s">
        <v>7</v>
      </c>
      <c r="B6" s="210" t="s">
        <v>101</v>
      </c>
      <c r="C6" s="209"/>
      <c r="D6" s="209"/>
      <c r="E6" s="209"/>
      <c r="F6" s="209"/>
      <c r="G6" s="150">
        <f>+G7+G8</f>
        <v>6927388000.000001</v>
      </c>
    </row>
    <row r="7" spans="1:7" s="64" customFormat="1" ht="23.25" customHeight="1" x14ac:dyDescent="0.25">
      <c r="A7" s="211">
        <v>1</v>
      </c>
      <c r="B7" s="212" t="s">
        <v>92</v>
      </c>
      <c r="C7" s="211">
        <v>822</v>
      </c>
      <c r="D7" s="213" t="s">
        <v>102</v>
      </c>
      <c r="E7" s="213" t="s">
        <v>105</v>
      </c>
      <c r="F7" s="211">
        <v>13</v>
      </c>
      <c r="G7" s="151">
        <v>5460700000.000001</v>
      </c>
    </row>
    <row r="8" spans="1:7" s="55" customFormat="1" x14ac:dyDescent="0.25">
      <c r="A8" s="211">
        <v>2</v>
      </c>
      <c r="B8" s="279" t="s">
        <v>143</v>
      </c>
      <c r="C8" s="279"/>
      <c r="D8" s="279"/>
      <c r="E8" s="279"/>
      <c r="F8" s="279"/>
      <c r="G8" s="280">
        <f>+G9+G12+G13+G14</f>
        <v>1466688000</v>
      </c>
    </row>
    <row r="9" spans="1:7" s="55" customFormat="1" ht="31.5" x14ac:dyDescent="0.25">
      <c r="A9" s="211" t="s">
        <v>169</v>
      </c>
      <c r="B9" s="216" t="s">
        <v>290</v>
      </c>
      <c r="C9" s="211">
        <v>822</v>
      </c>
      <c r="D9" s="213" t="s">
        <v>102</v>
      </c>
      <c r="E9" s="213" t="s">
        <v>105</v>
      </c>
      <c r="F9" s="257">
        <v>12</v>
      </c>
      <c r="G9" s="280">
        <f>+G10+G11</f>
        <v>294000000</v>
      </c>
    </row>
    <row r="10" spans="1:7" s="285" customFormat="1" x14ac:dyDescent="0.25">
      <c r="A10" s="282" t="s">
        <v>68</v>
      </c>
      <c r="B10" s="219" t="s">
        <v>202</v>
      </c>
      <c r="C10" s="283"/>
      <c r="D10" s="283"/>
      <c r="E10" s="283"/>
      <c r="F10" s="283"/>
      <c r="G10" s="94">
        <v>294000000</v>
      </c>
    </row>
    <row r="11" spans="1:7" s="285" customFormat="1" x14ac:dyDescent="0.25">
      <c r="A11" s="282" t="s">
        <v>68</v>
      </c>
      <c r="B11" s="219" t="s">
        <v>148</v>
      </c>
      <c r="C11" s="283"/>
      <c r="D11" s="283"/>
      <c r="E11" s="283"/>
      <c r="F11" s="283"/>
      <c r="G11" s="94"/>
    </row>
    <row r="12" spans="1:7" s="55" customFormat="1" ht="47.25" x14ac:dyDescent="0.25">
      <c r="A12" s="211" t="s">
        <v>195</v>
      </c>
      <c r="B12" s="216" t="s">
        <v>289</v>
      </c>
      <c r="C12" s="211">
        <v>822</v>
      </c>
      <c r="D12" s="213" t="s">
        <v>102</v>
      </c>
      <c r="E12" s="213" t="s">
        <v>105</v>
      </c>
      <c r="F12" s="257">
        <v>12</v>
      </c>
      <c r="G12" s="154">
        <v>820000000</v>
      </c>
    </row>
    <row r="13" spans="1:7" s="55" customFormat="1" ht="47.25" x14ac:dyDescent="0.25">
      <c r="A13" s="211" t="s">
        <v>198</v>
      </c>
      <c r="B13" s="216" t="s">
        <v>209</v>
      </c>
      <c r="C13" s="211">
        <v>822</v>
      </c>
      <c r="D13" s="213" t="s">
        <v>102</v>
      </c>
      <c r="E13" s="213" t="s">
        <v>105</v>
      </c>
      <c r="F13" s="257">
        <v>12</v>
      </c>
      <c r="G13" s="214">
        <v>7488000</v>
      </c>
    </row>
    <row r="14" spans="1:7" s="55" customFormat="1" ht="31.5" x14ac:dyDescent="0.25">
      <c r="A14" s="211" t="s">
        <v>199</v>
      </c>
      <c r="B14" s="231" t="s">
        <v>160</v>
      </c>
      <c r="C14" s="211">
        <v>822</v>
      </c>
      <c r="D14" s="213" t="s">
        <v>102</v>
      </c>
      <c r="E14" s="213" t="s">
        <v>105</v>
      </c>
      <c r="F14" s="279">
        <v>18</v>
      </c>
      <c r="G14" s="286">
        <v>345200000</v>
      </c>
    </row>
  </sheetData>
  <mergeCells count="3">
    <mergeCell ref="A1:G1"/>
    <mergeCell ref="A2:G2"/>
    <mergeCell ref="F3:G3"/>
  </mergeCells>
  <pageMargins left="0.7" right="0.48" top="0.75" bottom="0.75" header="0.38" footer="0.3"/>
  <pageSetup paperSize="9" scale="95"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G14"/>
  <sheetViews>
    <sheetView workbookViewId="0">
      <selection activeCell="F12" sqref="F12:F13"/>
    </sheetView>
  </sheetViews>
  <sheetFormatPr defaultRowHeight="18.75" x14ac:dyDescent="0.3"/>
  <cols>
    <col min="1" max="1" width="5.42578125" style="230" customWidth="1"/>
    <col min="2" max="2" width="36.140625" style="56" customWidth="1"/>
    <col min="3" max="3" width="9.140625" style="56"/>
    <col min="4" max="4" width="8" style="56" customWidth="1"/>
    <col min="5" max="5" width="9.140625" style="56"/>
    <col min="6" max="6" width="8.28515625" style="56" customWidth="1"/>
    <col min="7" max="7" width="18.5703125" style="56" customWidth="1"/>
    <col min="8" max="16384" width="9.140625" style="56"/>
  </cols>
  <sheetData>
    <row r="1" spans="1:7" s="55" customFormat="1" ht="38.25" customHeight="1" x14ac:dyDescent="0.25">
      <c r="A1" s="301" t="s">
        <v>123</v>
      </c>
      <c r="B1" s="302"/>
      <c r="C1" s="302"/>
      <c r="D1" s="302"/>
      <c r="E1" s="302"/>
      <c r="F1" s="302"/>
      <c r="G1" s="302"/>
    </row>
    <row r="2" spans="1:7" s="64" customFormat="1" ht="24" customHeight="1" x14ac:dyDescent="0.25">
      <c r="A2" s="299" t="str">
        <f>+'TH S1NS'!A2:G2</f>
        <v>(Kèm theo Quyết định số 815/QĐ-UBND ngày 05  tháng 11 năm 2025 của UBND xã)</v>
      </c>
      <c r="B2" s="299"/>
      <c r="C2" s="299"/>
      <c r="D2" s="299"/>
      <c r="E2" s="299"/>
      <c r="F2" s="299"/>
      <c r="G2" s="299"/>
    </row>
    <row r="3" spans="1:7" s="65" customFormat="1" ht="24" customHeight="1" x14ac:dyDescent="0.25">
      <c r="A3" s="81" t="s">
        <v>286</v>
      </c>
      <c r="F3" s="300" t="s">
        <v>93</v>
      </c>
      <c r="G3" s="300"/>
    </row>
    <row r="4" spans="1:7" s="58" customFormat="1" ht="49.5" customHeight="1" x14ac:dyDescent="0.25">
      <c r="A4" s="227" t="s">
        <v>2</v>
      </c>
      <c r="B4" s="227" t="s">
        <v>3</v>
      </c>
      <c r="C4" s="227" t="s">
        <v>87</v>
      </c>
      <c r="D4" s="227" t="s">
        <v>88</v>
      </c>
      <c r="E4" s="227" t="s">
        <v>89</v>
      </c>
      <c r="F4" s="227" t="s">
        <v>90</v>
      </c>
      <c r="G4" s="227" t="s">
        <v>91</v>
      </c>
    </row>
    <row r="5" spans="1:7" s="64" customFormat="1" ht="21" customHeight="1" x14ac:dyDescent="0.25">
      <c r="A5" s="209"/>
      <c r="B5" s="210" t="s">
        <v>94</v>
      </c>
      <c r="C5" s="209"/>
      <c r="D5" s="209"/>
      <c r="E5" s="209"/>
      <c r="F5" s="209"/>
      <c r="G5" s="150">
        <f>+G6</f>
        <v>7835116000</v>
      </c>
    </row>
    <row r="6" spans="1:7" s="65" customFormat="1" ht="21" customHeight="1" x14ac:dyDescent="0.25">
      <c r="A6" s="209" t="s">
        <v>7</v>
      </c>
      <c r="B6" s="210" t="s">
        <v>101</v>
      </c>
      <c r="C6" s="209"/>
      <c r="D6" s="209"/>
      <c r="E6" s="209"/>
      <c r="F6" s="209"/>
      <c r="G6" s="150">
        <f>+G7+G8</f>
        <v>7835116000</v>
      </c>
    </row>
    <row r="7" spans="1:7" s="64" customFormat="1" ht="23.25" customHeight="1" x14ac:dyDescent="0.25">
      <c r="A7" s="211">
        <v>1</v>
      </c>
      <c r="B7" s="212" t="s">
        <v>92</v>
      </c>
      <c r="C7" s="211">
        <v>822</v>
      </c>
      <c r="D7" s="213" t="s">
        <v>102</v>
      </c>
      <c r="E7" s="213" t="s">
        <v>105</v>
      </c>
      <c r="F7" s="211">
        <v>13</v>
      </c>
      <c r="G7" s="151">
        <v>6114900000</v>
      </c>
    </row>
    <row r="8" spans="1:7" s="55" customFormat="1" x14ac:dyDescent="0.25">
      <c r="A8" s="211">
        <v>2</v>
      </c>
      <c r="B8" s="279" t="s">
        <v>143</v>
      </c>
      <c r="C8" s="279"/>
      <c r="D8" s="279"/>
      <c r="E8" s="279"/>
      <c r="F8" s="279"/>
      <c r="G8" s="280">
        <f>+G9+G12+G13+G14</f>
        <v>1720216000</v>
      </c>
    </row>
    <row r="9" spans="1:7" s="55" customFormat="1" ht="31.5" x14ac:dyDescent="0.25">
      <c r="A9" s="211" t="s">
        <v>169</v>
      </c>
      <c r="B9" s="216" t="s">
        <v>290</v>
      </c>
      <c r="C9" s="211">
        <v>822</v>
      </c>
      <c r="D9" s="213" t="s">
        <v>102</v>
      </c>
      <c r="E9" s="213" t="s">
        <v>105</v>
      </c>
      <c r="F9" s="257">
        <v>12</v>
      </c>
      <c r="G9" s="280">
        <f>+G10+G11</f>
        <v>311400000</v>
      </c>
    </row>
    <row r="10" spans="1:7" s="285" customFormat="1" x14ac:dyDescent="0.25">
      <c r="A10" s="282" t="s">
        <v>68</v>
      </c>
      <c r="B10" s="219" t="s">
        <v>202</v>
      </c>
      <c r="C10" s="283"/>
      <c r="D10" s="283"/>
      <c r="E10" s="283"/>
      <c r="F10" s="283"/>
      <c r="G10" s="94">
        <v>311400000</v>
      </c>
    </row>
    <row r="11" spans="1:7" s="285" customFormat="1" x14ac:dyDescent="0.25">
      <c r="A11" s="282" t="s">
        <v>68</v>
      </c>
      <c r="B11" s="219" t="s">
        <v>148</v>
      </c>
      <c r="C11" s="283"/>
      <c r="D11" s="283"/>
      <c r="E11" s="283"/>
      <c r="F11" s="283"/>
      <c r="G11" s="94"/>
    </row>
    <row r="12" spans="1:7" s="55" customFormat="1" ht="47.25" x14ac:dyDescent="0.25">
      <c r="A12" s="211" t="s">
        <v>195</v>
      </c>
      <c r="B12" s="216" t="s">
        <v>289</v>
      </c>
      <c r="C12" s="211">
        <v>822</v>
      </c>
      <c r="D12" s="213" t="s">
        <v>102</v>
      </c>
      <c r="E12" s="213" t="s">
        <v>105</v>
      </c>
      <c r="F12" s="257">
        <v>12</v>
      </c>
      <c r="G12" s="154">
        <v>960000000</v>
      </c>
    </row>
    <row r="13" spans="1:7" s="55" customFormat="1" ht="47.25" x14ac:dyDescent="0.25">
      <c r="A13" s="211" t="s">
        <v>198</v>
      </c>
      <c r="B13" s="216" t="s">
        <v>209</v>
      </c>
      <c r="C13" s="211">
        <v>822</v>
      </c>
      <c r="D13" s="213" t="s">
        <v>102</v>
      </c>
      <c r="E13" s="213" t="s">
        <v>105</v>
      </c>
      <c r="F13" s="257">
        <v>12</v>
      </c>
      <c r="G13" s="214">
        <v>52416000.000000007</v>
      </c>
    </row>
    <row r="14" spans="1:7" s="55" customFormat="1" ht="31.5" x14ac:dyDescent="0.25">
      <c r="A14" s="211" t="s">
        <v>199</v>
      </c>
      <c r="B14" s="231" t="s">
        <v>160</v>
      </c>
      <c r="C14" s="211">
        <v>822</v>
      </c>
      <c r="D14" s="213" t="s">
        <v>102</v>
      </c>
      <c r="E14" s="213" t="s">
        <v>105</v>
      </c>
      <c r="F14" s="279">
        <v>18</v>
      </c>
      <c r="G14" s="286">
        <v>396400000</v>
      </c>
    </row>
  </sheetData>
  <mergeCells count="3">
    <mergeCell ref="A1:G1"/>
    <mergeCell ref="A2:G2"/>
    <mergeCell ref="F3:G3"/>
  </mergeCells>
  <pageMargins left="0.7" right="0.48" top="0.75" bottom="0.75" header="0.38" footer="0.3"/>
  <pageSetup paperSize="9" scale="95"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G14"/>
  <sheetViews>
    <sheetView workbookViewId="0">
      <selection activeCell="F4" sqref="F1:F65536"/>
    </sheetView>
  </sheetViews>
  <sheetFormatPr defaultRowHeight="18.75" x14ac:dyDescent="0.3"/>
  <cols>
    <col min="1" max="1" width="5.42578125" style="230" customWidth="1"/>
    <col min="2" max="2" width="36.140625" style="56" customWidth="1"/>
    <col min="3" max="3" width="9.140625" style="56"/>
    <col min="4" max="4" width="8" style="56" customWidth="1"/>
    <col min="5" max="5" width="9.140625" style="56"/>
    <col min="6" max="6" width="8.28515625" style="230" customWidth="1"/>
    <col min="7" max="7" width="18.5703125" style="56" customWidth="1"/>
    <col min="8" max="16384" width="9.140625" style="56"/>
  </cols>
  <sheetData>
    <row r="1" spans="1:7" s="55" customFormat="1" ht="38.25" customHeight="1" x14ac:dyDescent="0.25">
      <c r="A1" s="301" t="s">
        <v>123</v>
      </c>
      <c r="B1" s="302"/>
      <c r="C1" s="302"/>
      <c r="D1" s="302"/>
      <c r="E1" s="302"/>
      <c r="F1" s="302"/>
      <c r="G1" s="302"/>
    </row>
    <row r="2" spans="1:7" s="64" customFormat="1" ht="24" customHeight="1" x14ac:dyDescent="0.25">
      <c r="A2" s="299" t="str">
        <f>+'TH S1NS'!A2:G2</f>
        <v>(Kèm theo Quyết định số 815/QĐ-UBND ngày 05  tháng 11 năm 2025 của UBND xã)</v>
      </c>
      <c r="B2" s="299"/>
      <c r="C2" s="299"/>
      <c r="D2" s="299"/>
      <c r="E2" s="299"/>
      <c r="F2" s="299"/>
      <c r="G2" s="299"/>
    </row>
    <row r="3" spans="1:7" s="65" customFormat="1" ht="24" customHeight="1" x14ac:dyDescent="0.25">
      <c r="A3" s="81" t="s">
        <v>287</v>
      </c>
      <c r="F3" s="300" t="s">
        <v>93</v>
      </c>
      <c r="G3" s="300"/>
    </row>
    <row r="4" spans="1:7" s="58" customFormat="1" ht="49.5" customHeight="1" x14ac:dyDescent="0.25">
      <c r="A4" s="227" t="s">
        <v>2</v>
      </c>
      <c r="B4" s="227" t="s">
        <v>3</v>
      </c>
      <c r="C4" s="227" t="s">
        <v>87</v>
      </c>
      <c r="D4" s="227" t="s">
        <v>88</v>
      </c>
      <c r="E4" s="227" t="s">
        <v>89</v>
      </c>
      <c r="F4" s="227" t="s">
        <v>90</v>
      </c>
      <c r="G4" s="227" t="s">
        <v>91</v>
      </c>
    </row>
    <row r="5" spans="1:7" s="64" customFormat="1" ht="21" customHeight="1" x14ac:dyDescent="0.25">
      <c r="A5" s="209"/>
      <c r="B5" s="210" t="s">
        <v>94</v>
      </c>
      <c r="C5" s="209"/>
      <c r="D5" s="209"/>
      <c r="E5" s="209"/>
      <c r="F5" s="209"/>
      <c r="G5" s="150">
        <f>+G6</f>
        <v>5308352000</v>
      </c>
    </row>
    <row r="6" spans="1:7" s="65" customFormat="1" ht="21" customHeight="1" x14ac:dyDescent="0.25">
      <c r="A6" s="209" t="s">
        <v>7</v>
      </c>
      <c r="B6" s="210" t="s">
        <v>101</v>
      </c>
      <c r="C6" s="209"/>
      <c r="D6" s="209"/>
      <c r="E6" s="209"/>
      <c r="F6" s="209"/>
      <c r="G6" s="150">
        <f>+G7+G8</f>
        <v>5308352000</v>
      </c>
    </row>
    <row r="7" spans="1:7" s="64" customFormat="1" ht="23.25" customHeight="1" x14ac:dyDescent="0.25">
      <c r="A7" s="211">
        <v>1</v>
      </c>
      <c r="B7" s="212" t="s">
        <v>92</v>
      </c>
      <c r="C7" s="211">
        <v>822</v>
      </c>
      <c r="D7" s="213" t="s">
        <v>102</v>
      </c>
      <c r="E7" s="213" t="s">
        <v>105</v>
      </c>
      <c r="F7" s="211">
        <v>13</v>
      </c>
      <c r="G7" s="151">
        <v>4105899999.9999995</v>
      </c>
    </row>
    <row r="8" spans="1:7" s="55" customFormat="1" x14ac:dyDescent="0.25">
      <c r="A8" s="211">
        <v>2</v>
      </c>
      <c r="B8" s="279" t="s">
        <v>143</v>
      </c>
      <c r="C8" s="279"/>
      <c r="D8" s="279"/>
      <c r="E8" s="279"/>
      <c r="F8" s="211"/>
      <c r="G8" s="280">
        <f>+G9+G12+G13+G14</f>
        <v>1202452000</v>
      </c>
    </row>
    <row r="9" spans="1:7" s="55" customFormat="1" ht="31.5" x14ac:dyDescent="0.25">
      <c r="A9" s="211" t="s">
        <v>169</v>
      </c>
      <c r="B9" s="216" t="s">
        <v>290</v>
      </c>
      <c r="C9" s="211">
        <v>822</v>
      </c>
      <c r="D9" s="213" t="s">
        <v>102</v>
      </c>
      <c r="E9" s="213" t="s">
        <v>105</v>
      </c>
      <c r="F9" s="99">
        <v>12</v>
      </c>
      <c r="G9" s="280">
        <f>+G10+G11</f>
        <v>226200000</v>
      </c>
    </row>
    <row r="10" spans="1:7" s="285" customFormat="1" x14ac:dyDescent="0.25">
      <c r="A10" s="282" t="s">
        <v>68</v>
      </c>
      <c r="B10" s="219" t="s">
        <v>202</v>
      </c>
      <c r="C10" s="283"/>
      <c r="D10" s="283"/>
      <c r="E10" s="283"/>
      <c r="F10" s="282"/>
      <c r="G10" s="94">
        <v>226200000</v>
      </c>
    </row>
    <row r="11" spans="1:7" s="285" customFormat="1" x14ac:dyDescent="0.25">
      <c r="A11" s="282" t="s">
        <v>68</v>
      </c>
      <c r="B11" s="219" t="s">
        <v>148</v>
      </c>
      <c r="C11" s="283"/>
      <c r="D11" s="283"/>
      <c r="E11" s="283"/>
      <c r="F11" s="282"/>
      <c r="G11" s="94"/>
    </row>
    <row r="12" spans="1:7" s="55" customFormat="1" ht="47.25" x14ac:dyDescent="0.25">
      <c r="A12" s="211" t="s">
        <v>195</v>
      </c>
      <c r="B12" s="216" t="s">
        <v>289</v>
      </c>
      <c r="C12" s="211">
        <v>822</v>
      </c>
      <c r="D12" s="213" t="s">
        <v>102</v>
      </c>
      <c r="E12" s="213" t="s">
        <v>105</v>
      </c>
      <c r="F12" s="99">
        <v>12</v>
      </c>
      <c r="G12" s="154">
        <v>650000000</v>
      </c>
    </row>
    <row r="13" spans="1:7" s="55" customFormat="1" ht="47.25" x14ac:dyDescent="0.25">
      <c r="A13" s="211" t="s">
        <v>198</v>
      </c>
      <c r="B13" s="216" t="s">
        <v>209</v>
      </c>
      <c r="C13" s="211">
        <v>822</v>
      </c>
      <c r="D13" s="213" t="s">
        <v>102</v>
      </c>
      <c r="E13" s="213" t="s">
        <v>105</v>
      </c>
      <c r="F13" s="99">
        <v>12</v>
      </c>
      <c r="G13" s="214">
        <v>29952000</v>
      </c>
    </row>
    <row r="14" spans="1:7" s="55" customFormat="1" ht="31.5" x14ac:dyDescent="0.25">
      <c r="A14" s="211" t="s">
        <v>199</v>
      </c>
      <c r="B14" s="231" t="s">
        <v>160</v>
      </c>
      <c r="C14" s="211">
        <v>822</v>
      </c>
      <c r="D14" s="213" t="s">
        <v>102</v>
      </c>
      <c r="E14" s="213" t="s">
        <v>105</v>
      </c>
      <c r="F14" s="211">
        <v>18</v>
      </c>
      <c r="G14" s="286">
        <v>296300000</v>
      </c>
    </row>
  </sheetData>
  <mergeCells count="3">
    <mergeCell ref="A1:G1"/>
    <mergeCell ref="A2:G2"/>
    <mergeCell ref="F3:G3"/>
  </mergeCells>
  <pageMargins left="0.7" right="0.48" top="0.75" bottom="0.75" header="0.38" footer="0.3"/>
  <pageSetup paperSize="9" scale="95"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J15"/>
  <sheetViews>
    <sheetView workbookViewId="0">
      <selection activeCell="J13" sqref="J13"/>
    </sheetView>
  </sheetViews>
  <sheetFormatPr defaultRowHeight="18.75" x14ac:dyDescent="0.3"/>
  <cols>
    <col min="1" max="1" width="5.42578125" style="230" customWidth="1"/>
    <col min="2" max="2" width="36.140625" style="56" customWidth="1"/>
    <col min="3" max="3" width="9.140625" style="56"/>
    <col min="4" max="4" width="8" style="56" customWidth="1"/>
    <col min="5" max="5" width="9.140625" style="56"/>
    <col min="6" max="6" width="8.28515625" style="230" customWidth="1"/>
    <col min="7" max="7" width="18.5703125" style="56" customWidth="1"/>
    <col min="8" max="8" width="9.140625" style="56"/>
    <col min="9" max="9" width="12.5703125" style="56" bestFit="1" customWidth="1"/>
    <col min="10" max="10" width="16.7109375" style="56" bestFit="1" customWidth="1"/>
    <col min="11" max="16384" width="9.140625" style="56"/>
  </cols>
  <sheetData>
    <row r="1" spans="1:10" s="55" customFormat="1" ht="38.25" customHeight="1" x14ac:dyDescent="0.25">
      <c r="A1" s="301" t="s">
        <v>123</v>
      </c>
      <c r="B1" s="302"/>
      <c r="C1" s="302"/>
      <c r="D1" s="302"/>
      <c r="E1" s="302"/>
      <c r="F1" s="302"/>
      <c r="G1" s="302"/>
    </row>
    <row r="2" spans="1:10" s="64" customFormat="1" ht="24" customHeight="1" x14ac:dyDescent="0.25">
      <c r="A2" s="299" t="str">
        <f>+'TH S1NS'!A2:G2</f>
        <v>(Kèm theo Quyết định số 815/QĐ-UBND ngày 05  tháng 11 năm 2025 của UBND xã)</v>
      </c>
      <c r="B2" s="299"/>
      <c r="C2" s="299"/>
      <c r="D2" s="299"/>
      <c r="E2" s="299"/>
      <c r="F2" s="299"/>
      <c r="G2" s="299"/>
    </row>
    <row r="3" spans="1:10" s="65" customFormat="1" ht="24" customHeight="1" x14ac:dyDescent="0.25">
      <c r="A3" s="81" t="s">
        <v>288</v>
      </c>
      <c r="F3" s="300" t="s">
        <v>93</v>
      </c>
      <c r="G3" s="300"/>
    </row>
    <row r="4" spans="1:10" s="58" customFormat="1" ht="49.5" customHeight="1" x14ac:dyDescent="0.25">
      <c r="A4" s="227" t="s">
        <v>2</v>
      </c>
      <c r="B4" s="227" t="s">
        <v>3</v>
      </c>
      <c r="C4" s="227" t="s">
        <v>87</v>
      </c>
      <c r="D4" s="227" t="s">
        <v>88</v>
      </c>
      <c r="E4" s="227" t="s">
        <v>89</v>
      </c>
      <c r="F4" s="227" t="s">
        <v>90</v>
      </c>
      <c r="G4" s="227" t="s">
        <v>91</v>
      </c>
    </row>
    <row r="5" spans="1:10" s="64" customFormat="1" ht="21" customHeight="1" x14ac:dyDescent="0.25">
      <c r="A5" s="209"/>
      <c r="B5" s="210" t="s">
        <v>94</v>
      </c>
      <c r="C5" s="209"/>
      <c r="D5" s="209"/>
      <c r="E5" s="209"/>
      <c r="F5" s="209"/>
      <c r="G5" s="150">
        <f>+G6</f>
        <v>4125988000</v>
      </c>
      <c r="I5" s="278"/>
      <c r="J5" s="278">
        <f>G5+'THCS SL'!G5+'THCS NS'!G5+'THCS MTH'!G5+'TH NS'!G5+'TH SL'!G5+'TH S2NS'!G5+'TH S1NS'!G5+'TH MTH'!G5+'MN SM'!G5+'MN SL'!G5+'MN S2NS '!G5+'MN S1NS'!G5+'MN MTH'!G5+TTCT!G5+'TT DVTH'!G5+UBMTTQ!G5+'TT DVHCC'!G5+'P. VH-XH'!G5+'P.Kinh tế'!G7+'Văn phòng HĐND-UBND'!G5+'Văn phòng Đảng ủy'!G5</f>
        <v>136524031787</v>
      </c>
    </row>
    <row r="6" spans="1:10" s="65" customFormat="1" ht="21" customHeight="1" x14ac:dyDescent="0.25">
      <c r="A6" s="209" t="s">
        <v>7</v>
      </c>
      <c r="B6" s="210" t="s">
        <v>101</v>
      </c>
      <c r="C6" s="209"/>
      <c r="D6" s="209"/>
      <c r="E6" s="209"/>
      <c r="F6" s="209"/>
      <c r="G6" s="150">
        <f>+G7+G8</f>
        <v>4125988000</v>
      </c>
    </row>
    <row r="7" spans="1:10" s="64" customFormat="1" ht="23.25" customHeight="1" x14ac:dyDescent="0.25">
      <c r="A7" s="211">
        <v>1</v>
      </c>
      <c r="B7" s="212" t="s">
        <v>92</v>
      </c>
      <c r="C7" s="211">
        <v>822</v>
      </c>
      <c r="D7" s="213" t="s">
        <v>102</v>
      </c>
      <c r="E7" s="213" t="s">
        <v>105</v>
      </c>
      <c r="F7" s="211">
        <v>13</v>
      </c>
      <c r="G7" s="151">
        <v>3694600000</v>
      </c>
    </row>
    <row r="8" spans="1:10" s="55" customFormat="1" x14ac:dyDescent="0.25">
      <c r="A8" s="211">
        <v>2</v>
      </c>
      <c r="B8" s="279" t="s">
        <v>143</v>
      </c>
      <c r="C8" s="279"/>
      <c r="D8" s="279"/>
      <c r="E8" s="279"/>
      <c r="F8" s="211"/>
      <c r="G8" s="280">
        <f>+G9+G12+G13+G14+G15</f>
        <v>431388000</v>
      </c>
    </row>
    <row r="9" spans="1:10" s="55" customFormat="1" ht="31.5" x14ac:dyDescent="0.25">
      <c r="A9" s="211" t="s">
        <v>169</v>
      </c>
      <c r="B9" s="216" t="s">
        <v>290</v>
      </c>
      <c r="C9" s="211">
        <v>822</v>
      </c>
      <c r="D9" s="213" t="s">
        <v>102</v>
      </c>
      <c r="E9" s="213" t="s">
        <v>105</v>
      </c>
      <c r="F9" s="211">
        <v>12</v>
      </c>
      <c r="G9" s="280">
        <f>+G10+G11</f>
        <v>16200000</v>
      </c>
    </row>
    <row r="10" spans="1:10" s="285" customFormat="1" x14ac:dyDescent="0.25">
      <c r="A10" s="282" t="s">
        <v>68</v>
      </c>
      <c r="B10" s="219" t="s">
        <v>202</v>
      </c>
      <c r="C10" s="283"/>
      <c r="D10" s="283"/>
      <c r="E10" s="283"/>
      <c r="F10" s="282"/>
      <c r="G10" s="94">
        <v>16200000</v>
      </c>
    </row>
    <row r="11" spans="1:10" s="285" customFormat="1" x14ac:dyDescent="0.25">
      <c r="A11" s="282" t="s">
        <v>68</v>
      </c>
      <c r="B11" s="219" t="s">
        <v>148</v>
      </c>
      <c r="C11" s="283"/>
      <c r="D11" s="283"/>
      <c r="E11" s="283"/>
      <c r="F11" s="282"/>
      <c r="G11" s="94"/>
    </row>
    <row r="12" spans="1:10" s="55" customFormat="1" ht="47.25" x14ac:dyDescent="0.25">
      <c r="A12" s="211" t="s">
        <v>195</v>
      </c>
      <c r="B12" s="216" t="s">
        <v>289</v>
      </c>
      <c r="C12" s="211">
        <v>822</v>
      </c>
      <c r="D12" s="213" t="s">
        <v>102</v>
      </c>
      <c r="E12" s="213" t="s">
        <v>105</v>
      </c>
      <c r="F12" s="211">
        <v>12</v>
      </c>
      <c r="G12" s="154">
        <v>40000000</v>
      </c>
    </row>
    <row r="13" spans="1:10" s="55" customFormat="1" ht="47.25" x14ac:dyDescent="0.25">
      <c r="A13" s="211" t="s">
        <v>198</v>
      </c>
      <c r="B13" s="216" t="s">
        <v>209</v>
      </c>
      <c r="C13" s="211">
        <v>822</v>
      </c>
      <c r="D13" s="213" t="s">
        <v>102</v>
      </c>
      <c r="E13" s="213" t="s">
        <v>105</v>
      </c>
      <c r="F13" s="211">
        <v>12</v>
      </c>
      <c r="G13" s="214">
        <v>7488000</v>
      </c>
    </row>
    <row r="14" spans="1:10" s="55" customFormat="1" ht="31.5" x14ac:dyDescent="0.25">
      <c r="A14" s="211" t="s">
        <v>199</v>
      </c>
      <c r="B14" s="224" t="s">
        <v>295</v>
      </c>
      <c r="C14" s="211">
        <v>822</v>
      </c>
      <c r="D14" s="213" t="s">
        <v>102</v>
      </c>
      <c r="E14" s="213" t="s">
        <v>105</v>
      </c>
      <c r="F14" s="211">
        <v>12</v>
      </c>
      <c r="G14" s="214">
        <v>13200000</v>
      </c>
    </row>
    <row r="15" spans="1:10" s="55" customFormat="1" ht="31.5" x14ac:dyDescent="0.25">
      <c r="A15" s="211" t="s">
        <v>200</v>
      </c>
      <c r="B15" s="231" t="s">
        <v>160</v>
      </c>
      <c r="C15" s="211">
        <v>822</v>
      </c>
      <c r="D15" s="213" t="s">
        <v>102</v>
      </c>
      <c r="E15" s="213" t="s">
        <v>105</v>
      </c>
      <c r="F15" s="211">
        <v>18</v>
      </c>
      <c r="G15" s="286">
        <v>354500000</v>
      </c>
    </row>
  </sheetData>
  <mergeCells count="3">
    <mergeCell ref="A1:G1"/>
    <mergeCell ref="A2:G2"/>
    <mergeCell ref="F3:G3"/>
  </mergeCells>
  <phoneticPr fontId="17" type="noConversion"/>
  <pageMargins left="0.7" right="0.48" top="0.75" bottom="0.75" header="0.38" footer="0.3"/>
  <pageSetup paperSize="9" scale="95"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73"/>
  <sheetViews>
    <sheetView topLeftCell="A8" workbookViewId="0">
      <selection activeCell="D15" sqref="D15"/>
    </sheetView>
  </sheetViews>
  <sheetFormatPr defaultRowHeight="15" x14ac:dyDescent="0.25"/>
  <cols>
    <col min="1" max="1" width="5.85546875" style="33" customWidth="1"/>
    <col min="2" max="2" width="44" style="1" customWidth="1"/>
    <col min="3" max="3" width="13.5703125" style="1" hidden="1" customWidth="1"/>
    <col min="4" max="4" width="14.42578125" style="34" customWidth="1"/>
    <col min="5" max="5" width="23.5703125" style="1" customWidth="1"/>
    <col min="6" max="6" width="12.42578125" style="1" customWidth="1"/>
    <col min="7" max="7" width="10.42578125" style="1" customWidth="1"/>
    <col min="8" max="16384" width="9.140625" style="1"/>
  </cols>
  <sheetData>
    <row r="1" spans="1:5" x14ac:dyDescent="0.25">
      <c r="A1" s="321" t="s">
        <v>1</v>
      </c>
      <c r="B1" s="321"/>
      <c r="C1" s="321"/>
      <c r="D1" s="321"/>
      <c r="E1" s="321"/>
    </row>
    <row r="2" spans="1:5" s="3" customFormat="1" ht="14.25" x14ac:dyDescent="0.2">
      <c r="A2" s="2"/>
      <c r="D2" s="4"/>
    </row>
    <row r="3" spans="1:5" s="3" customFormat="1" ht="27.75" customHeight="1" x14ac:dyDescent="0.2">
      <c r="A3" s="26" t="s">
        <v>2</v>
      </c>
      <c r="B3" s="26" t="s">
        <v>3</v>
      </c>
      <c r="C3" s="26" t="s">
        <v>42</v>
      </c>
      <c r="D3" s="36" t="s">
        <v>47</v>
      </c>
      <c r="E3" s="6" t="s">
        <v>0</v>
      </c>
    </row>
    <row r="4" spans="1:5" s="3" customFormat="1" ht="14.25" hidden="1" x14ac:dyDescent="0.2">
      <c r="A4" s="5"/>
      <c r="B4" s="6" t="s">
        <v>45</v>
      </c>
      <c r="C4" s="7">
        <v>9500</v>
      </c>
      <c r="D4" s="7"/>
      <c r="E4" s="6"/>
    </row>
    <row r="5" spans="1:5" hidden="1" x14ac:dyDescent="0.25">
      <c r="A5" s="12"/>
      <c r="B5" s="13" t="s">
        <v>43</v>
      </c>
      <c r="C5" s="14">
        <v>1000</v>
      </c>
      <c r="D5" s="14"/>
      <c r="E5" s="13"/>
    </row>
    <row r="6" spans="1:5" hidden="1" x14ac:dyDescent="0.25">
      <c r="A6" s="12"/>
      <c r="B6" s="13" t="s">
        <v>44</v>
      </c>
      <c r="C6" s="14">
        <f>+C4-C5</f>
        <v>8500</v>
      </c>
      <c r="D6" s="14"/>
      <c r="E6" s="13"/>
    </row>
    <row r="7" spans="1:5" s="3" customFormat="1" ht="14.25" hidden="1" x14ac:dyDescent="0.2">
      <c r="A7" s="5"/>
      <c r="B7" s="6" t="s">
        <v>46</v>
      </c>
      <c r="C7" s="6"/>
      <c r="D7" s="7"/>
      <c r="E7" s="6"/>
    </row>
    <row r="8" spans="1:5" s="38" customFormat="1" ht="14.25" x14ac:dyDescent="0.2">
      <c r="A8" s="29" t="s">
        <v>7</v>
      </c>
      <c r="B8" s="31" t="s">
        <v>37</v>
      </c>
      <c r="C8" s="31"/>
      <c r="D8" s="47">
        <f>+D9</f>
        <v>973</v>
      </c>
      <c r="E8" s="31"/>
    </row>
    <row r="9" spans="1:5" s="38" customFormat="1" ht="45.75" customHeight="1" x14ac:dyDescent="0.25">
      <c r="A9" s="44">
        <v>1</v>
      </c>
      <c r="B9" s="45" t="s">
        <v>48</v>
      </c>
      <c r="C9" s="45"/>
      <c r="D9" s="48">
        <f>ROUND(('biểu chi tiết'!D8),0)</f>
        <v>973</v>
      </c>
      <c r="E9" s="32" t="s">
        <v>63</v>
      </c>
    </row>
    <row r="10" spans="1:5" s="3" customFormat="1" ht="14.25" hidden="1" x14ac:dyDescent="0.2">
      <c r="A10" s="5" t="s">
        <v>49</v>
      </c>
      <c r="B10" s="11" t="s">
        <v>40</v>
      </c>
      <c r="C10" s="11"/>
      <c r="D10" s="49">
        <f>SUM(D11:D13)</f>
        <v>880.6222855421687</v>
      </c>
      <c r="E10" s="6"/>
    </row>
    <row r="11" spans="1:5" s="3" customFormat="1" hidden="1" x14ac:dyDescent="0.25">
      <c r="A11" s="12">
        <v>1</v>
      </c>
      <c r="B11" s="13" t="s">
        <v>5</v>
      </c>
      <c r="C11" s="13"/>
      <c r="D11" s="50">
        <f>+'[8]BẢNG LƯƠNG 25 (2)'!$R$10/1000000</f>
        <v>315.91649699999999</v>
      </c>
      <c r="E11" s="6"/>
    </row>
    <row r="12" spans="1:5" s="3" customFormat="1" ht="30" hidden="1" x14ac:dyDescent="0.25">
      <c r="A12" s="12">
        <v>2</v>
      </c>
      <c r="B12" s="15" t="s">
        <v>11</v>
      </c>
      <c r="C12" s="15"/>
      <c r="D12" s="50">
        <f>+D11*0.204819277108434</f>
        <v>64.705788542168676</v>
      </c>
      <c r="E12" s="6"/>
    </row>
    <row r="13" spans="1:5" hidden="1" x14ac:dyDescent="0.25">
      <c r="A13" s="12">
        <v>3</v>
      </c>
      <c r="B13" s="15" t="s">
        <v>23</v>
      </c>
      <c r="C13" s="15"/>
      <c r="D13" s="50">
        <v>500</v>
      </c>
      <c r="E13" s="13"/>
    </row>
    <row r="14" spans="1:5" s="38" customFormat="1" ht="14.25" x14ac:dyDescent="0.2">
      <c r="A14" s="29" t="s">
        <v>4</v>
      </c>
      <c r="B14" s="31" t="s">
        <v>61</v>
      </c>
      <c r="C14" s="31"/>
      <c r="D14" s="47">
        <f>+D15+D32+D36+D41+D46+D51+D56+D61</f>
        <v>6401</v>
      </c>
      <c r="E14" s="31"/>
    </row>
    <row r="15" spans="1:5" s="39" customFormat="1" ht="60" x14ac:dyDescent="0.25">
      <c r="A15" s="44">
        <v>1</v>
      </c>
      <c r="B15" s="45" t="s">
        <v>6</v>
      </c>
      <c r="C15" s="45"/>
      <c r="D15" s="48">
        <f>ROUND((+'biểu chi tiết'!D28),0)-1</f>
        <v>1746</v>
      </c>
      <c r="E15" s="32" t="s">
        <v>64</v>
      </c>
    </row>
    <row r="16" spans="1:5" hidden="1" x14ac:dyDescent="0.25">
      <c r="A16" s="12" t="s">
        <v>49</v>
      </c>
      <c r="B16" s="32" t="s">
        <v>40</v>
      </c>
      <c r="C16" s="32"/>
      <c r="D16" s="50">
        <f>SUM(D17:D21)+D25</f>
        <v>2316.6116510000002</v>
      </c>
      <c r="E16" s="13"/>
    </row>
    <row r="17" spans="1:7" hidden="1" x14ac:dyDescent="0.25">
      <c r="A17" s="12">
        <v>1</v>
      </c>
      <c r="B17" s="13" t="s">
        <v>5</v>
      </c>
      <c r="C17" s="13"/>
      <c r="D17" s="50">
        <f>+'[10]BẢNG LƯƠNG 25'!$U$10/1000000</f>
        <v>548.06192999999996</v>
      </c>
      <c r="E17" s="13"/>
    </row>
    <row r="18" spans="1:7" ht="30" hidden="1" x14ac:dyDescent="0.25">
      <c r="A18" s="12">
        <v>2</v>
      </c>
      <c r="B18" s="15" t="s">
        <v>10</v>
      </c>
      <c r="C18" s="15"/>
      <c r="D18" s="50">
        <f>+'[2]QĐ 33  - 1,49'!$M$17</f>
        <v>332</v>
      </c>
      <c r="E18" s="21"/>
    </row>
    <row r="19" spans="1:7" ht="30" hidden="1" x14ac:dyDescent="0.25">
      <c r="A19" s="12">
        <v>3</v>
      </c>
      <c r="B19" s="15" t="s">
        <v>11</v>
      </c>
      <c r="C19" s="15"/>
      <c r="D19" s="51">
        <v>273</v>
      </c>
      <c r="E19" s="13"/>
      <c r="G19" s="37"/>
    </row>
    <row r="20" spans="1:7" hidden="1" x14ac:dyDescent="0.25">
      <c r="A20" s="12">
        <v>4</v>
      </c>
      <c r="B20" s="15" t="s">
        <v>15</v>
      </c>
      <c r="C20" s="15"/>
      <c r="D20" s="52">
        <v>17</v>
      </c>
      <c r="E20" s="13"/>
    </row>
    <row r="21" spans="1:7" hidden="1" x14ac:dyDescent="0.25">
      <c r="A21" s="12">
        <v>5</v>
      </c>
      <c r="B21" s="15" t="s">
        <v>21</v>
      </c>
      <c r="C21" s="15"/>
      <c r="D21" s="50">
        <f>SUM(D22:D24)</f>
        <v>146.54972100000001</v>
      </c>
      <c r="E21" s="13"/>
    </row>
    <row r="22" spans="1:7" s="20" customFormat="1" hidden="1" x14ac:dyDescent="0.25">
      <c r="A22" s="16"/>
      <c r="B22" s="17" t="s">
        <v>38</v>
      </c>
      <c r="C22" s="17"/>
      <c r="D22" s="53">
        <v>100</v>
      </c>
      <c r="E22" s="19"/>
    </row>
    <row r="23" spans="1:7" s="20" customFormat="1" hidden="1" x14ac:dyDescent="0.25">
      <c r="A23" s="16"/>
      <c r="B23" s="17" t="s">
        <v>22</v>
      </c>
      <c r="C23" s="17"/>
      <c r="D23" s="53">
        <v>20</v>
      </c>
      <c r="E23" s="19"/>
    </row>
    <row r="24" spans="1:7" s="20" customFormat="1" ht="30" hidden="1" x14ac:dyDescent="0.25">
      <c r="A24" s="16"/>
      <c r="B24" s="17" t="s">
        <v>20</v>
      </c>
      <c r="C24" s="17"/>
      <c r="D24" s="53">
        <f>+'[2]HD 111'!$R$10</f>
        <v>26.549720999999995</v>
      </c>
      <c r="E24" s="19"/>
    </row>
    <row r="25" spans="1:7" s="20" customFormat="1" ht="30" hidden="1" x14ac:dyDescent="0.25">
      <c r="A25" s="16">
        <v>7</v>
      </c>
      <c r="B25" s="15" t="s">
        <v>60</v>
      </c>
      <c r="C25" s="17"/>
      <c r="D25" s="50">
        <v>1000</v>
      </c>
      <c r="E25" s="19"/>
    </row>
    <row r="26" spans="1:7" hidden="1" x14ac:dyDescent="0.25">
      <c r="A26" s="12" t="s">
        <v>52</v>
      </c>
      <c r="B26" s="15" t="s">
        <v>9</v>
      </c>
      <c r="C26" s="15"/>
      <c r="D26" s="50">
        <f>+D27</f>
        <v>29</v>
      </c>
      <c r="E26" s="13"/>
    </row>
    <row r="27" spans="1:7" ht="45" hidden="1" x14ac:dyDescent="0.25">
      <c r="A27" s="23">
        <v>1</v>
      </c>
      <c r="B27" s="15" t="s">
        <v>12</v>
      </c>
      <c r="C27" s="15"/>
      <c r="D27" s="50">
        <f>+'[2]Quốc phòng  - 1,49'!$M$9</f>
        <v>29</v>
      </c>
      <c r="E27" s="24"/>
      <c r="F27" s="25"/>
    </row>
    <row r="28" spans="1:7" hidden="1" x14ac:dyDescent="0.25">
      <c r="A28" s="23" t="s">
        <v>53</v>
      </c>
      <c r="B28" s="15" t="s">
        <v>17</v>
      </c>
      <c r="C28" s="15"/>
      <c r="D28" s="50">
        <f>+D29</f>
        <v>57</v>
      </c>
      <c r="E28" s="24"/>
      <c r="F28" s="25"/>
    </row>
    <row r="29" spans="1:7" hidden="1" x14ac:dyDescent="0.25">
      <c r="A29" s="12">
        <v>1</v>
      </c>
      <c r="B29" s="15" t="s">
        <v>13</v>
      </c>
      <c r="C29" s="15"/>
      <c r="D29" s="50">
        <v>57</v>
      </c>
      <c r="E29" s="13"/>
    </row>
    <row r="30" spans="1:7" hidden="1" x14ac:dyDescent="0.25">
      <c r="A30" s="12" t="s">
        <v>54</v>
      </c>
      <c r="B30" s="15" t="s">
        <v>18</v>
      </c>
      <c r="C30" s="15"/>
      <c r="D30" s="50">
        <f>+D31</f>
        <v>18</v>
      </c>
      <c r="E30" s="13"/>
    </row>
    <row r="31" spans="1:7" hidden="1" x14ac:dyDescent="0.25">
      <c r="A31" s="12">
        <v>1</v>
      </c>
      <c r="B31" s="15" t="s">
        <v>14</v>
      </c>
      <c r="C31" s="15"/>
      <c r="D31" s="50">
        <v>18</v>
      </c>
      <c r="E31" s="13"/>
    </row>
    <row r="32" spans="1:7" s="39" customFormat="1" x14ac:dyDescent="0.25">
      <c r="A32" s="40">
        <v>2</v>
      </c>
      <c r="B32" s="32" t="s">
        <v>41</v>
      </c>
      <c r="C32" s="32"/>
      <c r="D32" s="51">
        <f>ROUND((D34+D35),0)</f>
        <v>47</v>
      </c>
      <c r="E32" s="41"/>
    </row>
    <row r="33" spans="1:5" s="39" customFormat="1" hidden="1" x14ac:dyDescent="0.25">
      <c r="A33" s="40">
        <v>1</v>
      </c>
      <c r="B33" s="32" t="s">
        <v>55</v>
      </c>
      <c r="C33" s="32"/>
      <c r="D33" s="51">
        <f>+D34+D35</f>
        <v>47.326908795180728</v>
      </c>
      <c r="E33" s="41"/>
    </row>
    <row r="34" spans="1:5" s="39" customFormat="1" hidden="1" x14ac:dyDescent="0.25">
      <c r="A34" s="40"/>
      <c r="B34" s="41" t="s">
        <v>5</v>
      </c>
      <c r="C34" s="41"/>
      <c r="D34" s="51">
        <f>+'[11]BẢNG LƯƠNG 25'!$U$10/1000000</f>
        <v>39.281334300000005</v>
      </c>
      <c r="E34" s="41"/>
    </row>
    <row r="35" spans="1:5" s="39" customFormat="1" ht="30" hidden="1" x14ac:dyDescent="0.25">
      <c r="A35" s="40"/>
      <c r="B35" s="32" t="s">
        <v>11</v>
      </c>
      <c r="C35" s="32"/>
      <c r="D35" s="51">
        <f>+D34*0.204819277108434</f>
        <v>8.0455744951807233</v>
      </c>
      <c r="E35" s="41"/>
    </row>
    <row r="36" spans="1:5" s="39" customFormat="1" x14ac:dyDescent="0.25">
      <c r="A36" s="40">
        <v>3</v>
      </c>
      <c r="B36" s="32" t="s">
        <v>27</v>
      </c>
      <c r="C36" s="32"/>
      <c r="D36" s="51">
        <f>ROUND((D37),0)</f>
        <v>635</v>
      </c>
      <c r="E36" s="41"/>
    </row>
    <row r="37" spans="1:5" s="39" customFormat="1" hidden="1" x14ac:dyDescent="0.25">
      <c r="A37" s="40">
        <v>1</v>
      </c>
      <c r="B37" s="32" t="s">
        <v>28</v>
      </c>
      <c r="C37" s="32"/>
      <c r="D37" s="51">
        <f>+D38+D39+D40</f>
        <v>634.6635</v>
      </c>
      <c r="E37" s="41"/>
    </row>
    <row r="38" spans="1:5" s="39" customFormat="1" hidden="1" x14ac:dyDescent="0.25">
      <c r="A38" s="40"/>
      <c r="B38" s="32" t="s">
        <v>5</v>
      </c>
      <c r="C38" s="32"/>
      <c r="D38" s="51">
        <f>+[1]T06.2025.MNHL!$T$59</f>
        <v>614</v>
      </c>
      <c r="E38" s="41"/>
    </row>
    <row r="39" spans="1:5" s="39" customFormat="1" hidden="1" x14ac:dyDescent="0.25">
      <c r="A39" s="40"/>
      <c r="B39" s="41" t="s">
        <v>29</v>
      </c>
      <c r="C39" s="41"/>
      <c r="D39" s="51">
        <f>+'[1]Hợp đồng 111'!$E$6</f>
        <v>8.3834999999999997</v>
      </c>
      <c r="E39" s="41"/>
    </row>
    <row r="40" spans="1:5" s="39" customFormat="1" hidden="1" x14ac:dyDescent="0.25">
      <c r="A40" s="40"/>
      <c r="B40" s="41" t="s">
        <v>30</v>
      </c>
      <c r="C40" s="41"/>
      <c r="D40" s="51">
        <f>+D38*2%</f>
        <v>12.280000000000001</v>
      </c>
      <c r="E40" s="41"/>
    </row>
    <row r="41" spans="1:5" s="39" customFormat="1" x14ac:dyDescent="0.25">
      <c r="A41" s="40">
        <v>4</v>
      </c>
      <c r="B41" s="41" t="s">
        <v>32</v>
      </c>
      <c r="C41" s="41"/>
      <c r="D41" s="51">
        <f>ROUND((D42),0)</f>
        <v>889</v>
      </c>
      <c r="E41" s="41"/>
    </row>
    <row r="42" spans="1:5" s="39" customFormat="1" hidden="1" x14ac:dyDescent="0.25">
      <c r="A42" s="40">
        <v>1</v>
      </c>
      <c r="B42" s="32" t="s">
        <v>28</v>
      </c>
      <c r="C42" s="32"/>
      <c r="D42" s="51">
        <f>+D43+D44+D45</f>
        <v>888.64350000000002</v>
      </c>
      <c r="E42" s="41"/>
    </row>
    <row r="43" spans="1:5" s="39" customFormat="1" hidden="1" x14ac:dyDescent="0.25">
      <c r="A43" s="40"/>
      <c r="B43" s="32" t="s">
        <v>5</v>
      </c>
      <c r="C43" s="32"/>
      <c r="D43" s="51">
        <f>+'[3]LƯƠNG T1'!$T$68</f>
        <v>863</v>
      </c>
      <c r="E43" s="41"/>
    </row>
    <row r="44" spans="1:5" s="39" customFormat="1" hidden="1" x14ac:dyDescent="0.25">
      <c r="A44" s="40"/>
      <c r="B44" s="41" t="s">
        <v>29</v>
      </c>
      <c r="C44" s="41"/>
      <c r="D44" s="51">
        <f>+'[3]HD 111'!$F$4+'[3]HD 111'!$F$3</f>
        <v>8.3834999999999997</v>
      </c>
      <c r="E44" s="41"/>
    </row>
    <row r="45" spans="1:5" s="39" customFormat="1" hidden="1" x14ac:dyDescent="0.25">
      <c r="A45" s="40"/>
      <c r="B45" s="41" t="s">
        <v>30</v>
      </c>
      <c r="C45" s="41"/>
      <c r="D45" s="51">
        <f>+D43*2%</f>
        <v>17.260000000000002</v>
      </c>
      <c r="E45" s="41"/>
    </row>
    <row r="46" spans="1:5" s="39" customFormat="1" x14ac:dyDescent="0.25">
      <c r="A46" s="40">
        <v>5</v>
      </c>
      <c r="B46" s="41" t="s">
        <v>33</v>
      </c>
      <c r="C46" s="41"/>
      <c r="D46" s="51">
        <f>ROUND((D47),0)</f>
        <v>837</v>
      </c>
      <c r="E46" s="41"/>
    </row>
    <row r="47" spans="1:5" s="39" customFormat="1" hidden="1" x14ac:dyDescent="0.25">
      <c r="A47" s="40">
        <v>1</v>
      </c>
      <c r="B47" s="32" t="s">
        <v>28</v>
      </c>
      <c r="C47" s="32"/>
      <c r="D47" s="51">
        <f>+D48+D49+D50</f>
        <v>836.91974999999991</v>
      </c>
      <c r="E47" s="41"/>
    </row>
    <row r="48" spans="1:5" s="39" customFormat="1" hidden="1" x14ac:dyDescent="0.25">
      <c r="A48" s="40"/>
      <c r="B48" s="32" t="s">
        <v>5</v>
      </c>
      <c r="C48" s="32"/>
      <c r="D48" s="51">
        <f>+'[4]t1-2024'!$Y$46</f>
        <v>816.4</v>
      </c>
      <c r="E48" s="41"/>
    </row>
    <row r="49" spans="1:5" s="39" customFormat="1" hidden="1" x14ac:dyDescent="0.25">
      <c r="A49" s="40"/>
      <c r="B49" s="41" t="s">
        <v>29</v>
      </c>
      <c r="C49" s="41"/>
      <c r="D49" s="51">
        <f>+'[4]HD 111'!$E$6</f>
        <v>4.1917499999999999</v>
      </c>
      <c r="E49" s="41"/>
    </row>
    <row r="50" spans="1:5" s="39" customFormat="1" hidden="1" x14ac:dyDescent="0.25">
      <c r="A50" s="40"/>
      <c r="B50" s="41" t="s">
        <v>30</v>
      </c>
      <c r="C50" s="41"/>
      <c r="D50" s="51">
        <f>+D48*2%</f>
        <v>16.327999999999999</v>
      </c>
      <c r="E50" s="41"/>
    </row>
    <row r="51" spans="1:5" s="39" customFormat="1" x14ac:dyDescent="0.25">
      <c r="A51" s="40">
        <v>6</v>
      </c>
      <c r="B51" s="41" t="s">
        <v>34</v>
      </c>
      <c r="C51" s="41"/>
      <c r="D51" s="51">
        <f>ROUND((D52),0)</f>
        <v>653</v>
      </c>
      <c r="E51" s="41"/>
    </row>
    <row r="52" spans="1:5" s="39" customFormat="1" hidden="1" x14ac:dyDescent="0.25">
      <c r="A52" s="40">
        <v>1</v>
      </c>
      <c r="B52" s="32" t="s">
        <v>28</v>
      </c>
      <c r="C52" s="32"/>
      <c r="D52" s="51">
        <f>+D53+D54+D55</f>
        <v>653.02350000000001</v>
      </c>
      <c r="E52" s="41"/>
    </row>
    <row r="53" spans="1:5" s="39" customFormat="1" hidden="1" x14ac:dyDescent="0.25">
      <c r="A53" s="40"/>
      <c r="B53" s="32" t="s">
        <v>5</v>
      </c>
      <c r="C53" s="32"/>
      <c r="D53" s="51">
        <f>+'[5]Tháng 4.2025   '!$T$53</f>
        <v>632</v>
      </c>
      <c r="E53" s="41"/>
    </row>
    <row r="54" spans="1:5" s="39" customFormat="1" hidden="1" x14ac:dyDescent="0.25">
      <c r="A54" s="40"/>
      <c r="B54" s="41" t="s">
        <v>29</v>
      </c>
      <c r="C54" s="41"/>
      <c r="D54" s="51">
        <f>+'[5]HĐ 11'!$F$3+'[5]HĐ 11'!$F$4</f>
        <v>8.3834999999999997</v>
      </c>
      <c r="E54" s="41"/>
    </row>
    <row r="55" spans="1:5" s="39" customFormat="1" hidden="1" x14ac:dyDescent="0.25">
      <c r="A55" s="40"/>
      <c r="B55" s="41" t="s">
        <v>30</v>
      </c>
      <c r="C55" s="41"/>
      <c r="D55" s="51">
        <f>+D53*2%</f>
        <v>12.64</v>
      </c>
      <c r="E55" s="41"/>
    </row>
    <row r="56" spans="1:5" s="39" customFormat="1" x14ac:dyDescent="0.25">
      <c r="A56" s="40">
        <v>7</v>
      </c>
      <c r="B56" s="41" t="s">
        <v>35</v>
      </c>
      <c r="C56" s="41"/>
      <c r="D56" s="51">
        <f>ROUND((D57),0)</f>
        <v>641</v>
      </c>
      <c r="E56" s="41"/>
    </row>
    <row r="57" spans="1:5" s="39" customFormat="1" hidden="1" x14ac:dyDescent="0.25">
      <c r="A57" s="40" t="s">
        <v>7</v>
      </c>
      <c r="B57" s="32" t="s">
        <v>28</v>
      </c>
      <c r="C57" s="32"/>
      <c r="D57" s="51">
        <f>+D58+D59+D60</f>
        <v>640.67174999999997</v>
      </c>
      <c r="E57" s="41"/>
    </row>
    <row r="58" spans="1:5" s="39" customFormat="1" hidden="1" x14ac:dyDescent="0.25">
      <c r="A58" s="40"/>
      <c r="B58" s="32" t="s">
        <v>5</v>
      </c>
      <c r="C58" s="32"/>
      <c r="D58" s="51">
        <f>+'[6]6-2025'!$W$43</f>
        <v>624</v>
      </c>
      <c r="E58" s="41"/>
    </row>
    <row r="59" spans="1:5" s="39" customFormat="1" hidden="1" x14ac:dyDescent="0.25">
      <c r="A59" s="40"/>
      <c r="B59" s="41" t="s">
        <v>29</v>
      </c>
      <c r="C59" s="41"/>
      <c r="D59" s="51">
        <f>+[6]HD111!$E$2</f>
        <v>4.1917499999999999</v>
      </c>
      <c r="E59" s="41"/>
    </row>
    <row r="60" spans="1:5" s="39" customFormat="1" hidden="1" x14ac:dyDescent="0.25">
      <c r="A60" s="40"/>
      <c r="B60" s="41" t="s">
        <v>30</v>
      </c>
      <c r="C60" s="41"/>
      <c r="D60" s="51">
        <f>+D58*2%</f>
        <v>12.48</v>
      </c>
      <c r="E60" s="41"/>
    </row>
    <row r="61" spans="1:5" s="39" customFormat="1" x14ac:dyDescent="0.25">
      <c r="A61" s="40">
        <v>8</v>
      </c>
      <c r="B61" s="41" t="s">
        <v>36</v>
      </c>
      <c r="C61" s="41"/>
      <c r="D61" s="51">
        <f>ROUND((D62),0)</f>
        <v>953</v>
      </c>
      <c r="E61" s="41"/>
    </row>
    <row r="62" spans="1:5" s="39" customFormat="1" hidden="1" x14ac:dyDescent="0.25">
      <c r="A62" s="40" t="s">
        <v>7</v>
      </c>
      <c r="B62" s="11" t="s">
        <v>28</v>
      </c>
      <c r="C62" s="11"/>
      <c r="D62" s="47">
        <f>+D63+D64+D65</f>
        <v>952.78907526779994</v>
      </c>
      <c r="E62" s="41"/>
    </row>
    <row r="63" spans="1:5" s="39" customFormat="1" hidden="1" x14ac:dyDescent="0.25">
      <c r="A63" s="40"/>
      <c r="B63" s="32" t="s">
        <v>5</v>
      </c>
      <c r="C63" s="32"/>
      <c r="D63" s="51">
        <f>+'[7]T6 072'!$T$29+'[7]T6 073'!$T$51</f>
        <v>925.88781888999995</v>
      </c>
      <c r="E63" s="41"/>
    </row>
    <row r="64" spans="1:5" s="39" customFormat="1" hidden="1" x14ac:dyDescent="0.25">
      <c r="A64" s="40"/>
      <c r="B64" s="41" t="s">
        <v>29</v>
      </c>
      <c r="C64" s="41"/>
      <c r="D64" s="51">
        <f>+'[7]HD 111'!$F$5+'[7]HD 111'!$F$4</f>
        <v>8.3834999999999997</v>
      </c>
      <c r="E64" s="41"/>
    </row>
    <row r="65" spans="1:5" s="39" customFormat="1" hidden="1" x14ac:dyDescent="0.25">
      <c r="A65" s="40"/>
      <c r="B65" s="41" t="s">
        <v>30</v>
      </c>
      <c r="C65" s="41"/>
      <c r="D65" s="51">
        <f>+D63*2%</f>
        <v>18.517756377799998</v>
      </c>
      <c r="E65" s="41"/>
    </row>
    <row r="66" spans="1:5" s="38" customFormat="1" ht="14.25" x14ac:dyDescent="0.2">
      <c r="A66" s="29" t="s">
        <v>16</v>
      </c>
      <c r="B66" s="31" t="s">
        <v>51</v>
      </c>
      <c r="C66" s="31"/>
      <c r="D66" s="47">
        <f>+D67</f>
        <v>401</v>
      </c>
      <c r="E66" s="31"/>
    </row>
    <row r="67" spans="1:5" x14ac:dyDescent="0.25">
      <c r="A67" s="40">
        <v>1</v>
      </c>
      <c r="B67" s="32" t="s">
        <v>62</v>
      </c>
      <c r="C67" s="32"/>
      <c r="D67" s="51">
        <f>ROUND(('biểu chi tiết'!D96),0)</f>
        <v>401</v>
      </c>
      <c r="E67" s="41"/>
    </row>
    <row r="68" spans="1:5" s="3" customFormat="1" ht="14.25" hidden="1" x14ac:dyDescent="0.2">
      <c r="A68" s="29" t="s">
        <v>49</v>
      </c>
      <c r="B68" s="11" t="s">
        <v>40</v>
      </c>
      <c r="C68" s="11"/>
      <c r="D68" s="47">
        <f>+D69+D70</f>
        <v>184.87071325301204</v>
      </c>
      <c r="E68" s="31"/>
    </row>
    <row r="69" spans="1:5" hidden="1" x14ac:dyDescent="0.25">
      <c r="A69" s="12">
        <v>1</v>
      </c>
      <c r="B69" s="13" t="s">
        <v>5</v>
      </c>
      <c r="C69" s="13"/>
      <c r="D69" s="50">
        <f>+'[9]BẢNG LƯƠNG 25 (2)'!$R$10/1000000</f>
        <v>153.44269199999999</v>
      </c>
      <c r="E69" s="13"/>
    </row>
    <row r="70" spans="1:5" ht="30" hidden="1" x14ac:dyDescent="0.25">
      <c r="A70" s="12">
        <v>2</v>
      </c>
      <c r="B70" s="15" t="s">
        <v>11</v>
      </c>
      <c r="C70" s="15"/>
      <c r="D70" s="50">
        <f>+D69*0.204819277108434</f>
        <v>31.428021253012044</v>
      </c>
      <c r="E70" s="13"/>
    </row>
    <row r="71" spans="1:5" s="3" customFormat="1" ht="14.25" hidden="1" x14ac:dyDescent="0.2">
      <c r="A71" s="35"/>
      <c r="B71" s="35" t="s">
        <v>8</v>
      </c>
      <c r="C71" s="35"/>
      <c r="D71" s="54">
        <f>+D8+D14</f>
        <v>7374</v>
      </c>
      <c r="E71" s="35"/>
    </row>
    <row r="72" spans="1:5" hidden="1" x14ac:dyDescent="0.25">
      <c r="A72" s="12"/>
      <c r="B72" s="13" t="s">
        <v>59</v>
      </c>
      <c r="C72" s="13"/>
      <c r="D72" s="50">
        <f>+C6-D71</f>
        <v>1126</v>
      </c>
      <c r="E72" s="13"/>
    </row>
    <row r="73" spans="1:5" s="3" customFormat="1" ht="14.25" x14ac:dyDescent="0.2">
      <c r="A73" s="5"/>
      <c r="B73" s="6" t="s">
        <v>65</v>
      </c>
      <c r="C73" s="6"/>
      <c r="D73" s="49">
        <f>+D8+D14+D66</f>
        <v>7775</v>
      </c>
      <c r="E73" s="6"/>
    </row>
  </sheetData>
  <mergeCells count="1">
    <mergeCell ref="A1:E1"/>
  </mergeCells>
  <pageMargins left="0.7" right="0.7" top="0.75" bottom="0.75" header="0.3" footer="0.3"/>
  <pageSetup paperSize="9"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115"/>
  <sheetViews>
    <sheetView topLeftCell="A85" workbookViewId="0">
      <selection activeCell="D116" sqref="D116"/>
    </sheetView>
  </sheetViews>
  <sheetFormatPr defaultRowHeight="15" x14ac:dyDescent="0.25"/>
  <cols>
    <col min="1" max="1" width="5.85546875" style="33" customWidth="1"/>
    <col min="2" max="2" width="44" style="1" customWidth="1"/>
    <col min="3" max="3" width="13.5703125" style="1" customWidth="1"/>
    <col min="4" max="4" width="14.42578125" style="34" customWidth="1"/>
    <col min="5" max="5" width="14.42578125" style="1" customWidth="1"/>
    <col min="6" max="6" width="12.42578125" style="1" customWidth="1"/>
    <col min="7" max="7" width="10.42578125" style="1" customWidth="1"/>
    <col min="8" max="16384" width="9.140625" style="1"/>
  </cols>
  <sheetData>
    <row r="1" spans="1:6" x14ac:dyDescent="0.25">
      <c r="A1" s="321" t="s">
        <v>1</v>
      </c>
      <c r="B1" s="321"/>
      <c r="C1" s="321"/>
      <c r="D1" s="321"/>
      <c r="E1" s="321"/>
    </row>
    <row r="2" spans="1:6" s="3" customFormat="1" ht="14.25" x14ac:dyDescent="0.2">
      <c r="A2" s="2"/>
      <c r="D2" s="4"/>
    </row>
    <row r="3" spans="1:6" s="3" customFormat="1" ht="28.5" x14ac:dyDescent="0.2">
      <c r="A3" s="26" t="s">
        <v>2</v>
      </c>
      <c r="B3" s="26" t="s">
        <v>3</v>
      </c>
      <c r="C3" s="26" t="s">
        <v>42</v>
      </c>
      <c r="D3" s="36" t="s">
        <v>47</v>
      </c>
      <c r="E3" s="6" t="s">
        <v>0</v>
      </c>
    </row>
    <row r="4" spans="1:6" s="3" customFormat="1" ht="14.25" x14ac:dyDescent="0.2">
      <c r="A4" s="5"/>
      <c r="B4" s="6" t="s">
        <v>45</v>
      </c>
      <c r="C4" s="7">
        <v>9500</v>
      </c>
      <c r="D4" s="7"/>
      <c r="E4" s="6"/>
    </row>
    <row r="5" spans="1:6" x14ac:dyDescent="0.25">
      <c r="A5" s="12"/>
      <c r="B5" s="13" t="s">
        <v>43</v>
      </c>
      <c r="C5" s="14">
        <v>1000</v>
      </c>
      <c r="D5" s="14"/>
      <c r="E5" s="13"/>
    </row>
    <row r="6" spans="1:6" x14ac:dyDescent="0.25">
      <c r="A6" s="12"/>
      <c r="B6" s="13" t="s">
        <v>44</v>
      </c>
      <c r="C6" s="14">
        <f>+C4-C5</f>
        <v>8500</v>
      </c>
      <c r="D6" s="14"/>
      <c r="E6" s="13"/>
    </row>
    <row r="7" spans="1:6" s="3" customFormat="1" ht="14.25" x14ac:dyDescent="0.2">
      <c r="A7" s="5"/>
      <c r="B7" s="6" t="s">
        <v>46</v>
      </c>
      <c r="C7" s="6"/>
      <c r="D7" s="7"/>
      <c r="E7" s="6"/>
    </row>
    <row r="8" spans="1:6" s="3" customFormat="1" ht="14.25" x14ac:dyDescent="0.2">
      <c r="A8" s="8" t="s">
        <v>25</v>
      </c>
      <c r="B8" s="9" t="s">
        <v>37</v>
      </c>
      <c r="C8" s="9"/>
      <c r="D8" s="10">
        <f>+D10</f>
        <v>973</v>
      </c>
      <c r="E8" s="6"/>
    </row>
    <row r="9" spans="1:6" s="38" customFormat="1" ht="14.25" x14ac:dyDescent="0.2">
      <c r="A9" s="29" t="s">
        <v>7</v>
      </c>
      <c r="B9" s="31" t="s">
        <v>48</v>
      </c>
      <c r="C9" s="31"/>
      <c r="D9" s="30">
        <f>+D10</f>
        <v>973</v>
      </c>
      <c r="E9" s="31"/>
    </row>
    <row r="10" spans="1:6" s="3" customFormat="1" ht="14.25" x14ac:dyDescent="0.2">
      <c r="A10" s="5" t="s">
        <v>49</v>
      </c>
      <c r="B10" s="11" t="s">
        <v>40</v>
      </c>
      <c r="C10" s="11"/>
      <c r="D10" s="7">
        <f>ROUND((D11+D12+D13+D14+D26),0)</f>
        <v>973</v>
      </c>
      <c r="E10" s="6"/>
    </row>
    <row r="11" spans="1:6" s="3" customFormat="1" x14ac:dyDescent="0.25">
      <c r="A11" s="12">
        <v>1</v>
      </c>
      <c r="B11" s="13" t="s">
        <v>5</v>
      </c>
      <c r="C11" s="13"/>
      <c r="D11" s="14">
        <f>+'[8]BẢNG LƯƠNG 25 (2)'!$R$10/1000000</f>
        <v>315.91649699999999</v>
      </c>
      <c r="E11" s="6"/>
      <c r="F11" s="83">
        <f>+D11+D12+D14</f>
        <v>463.02975542168679</v>
      </c>
    </row>
    <row r="12" spans="1:6" s="3" customFormat="1" ht="30" x14ac:dyDescent="0.25">
      <c r="A12" s="12">
        <v>2</v>
      </c>
      <c r="B12" s="15" t="s">
        <v>11</v>
      </c>
      <c r="C12" s="15"/>
      <c r="D12" s="14">
        <f>+(D11+D14)*0.204819277108434</f>
        <v>78.715058421686848</v>
      </c>
      <c r="E12" s="6"/>
    </row>
    <row r="13" spans="1:6" x14ac:dyDescent="0.25">
      <c r="A13" s="12">
        <v>3</v>
      </c>
      <c r="B13" s="15" t="s">
        <v>23</v>
      </c>
      <c r="C13" s="15"/>
      <c r="D13" s="14">
        <v>500</v>
      </c>
      <c r="E13" s="13"/>
    </row>
    <row r="14" spans="1:6" ht="30" x14ac:dyDescent="0.25">
      <c r="A14" s="12">
        <v>4</v>
      </c>
      <c r="B14" s="15" t="s">
        <v>66</v>
      </c>
      <c r="C14" s="15"/>
      <c r="D14" s="14">
        <f>+D15+D18+D23+D24</f>
        <v>68.398199999999989</v>
      </c>
      <c r="E14" s="13"/>
    </row>
    <row r="15" spans="1:6" ht="30" x14ac:dyDescent="0.25">
      <c r="A15" s="12" t="s">
        <v>68</v>
      </c>
      <c r="B15" s="15" t="s">
        <v>70</v>
      </c>
      <c r="C15" s="15"/>
      <c r="D15" s="14">
        <f>+D16+D17</f>
        <v>13.9932</v>
      </c>
      <c r="E15" s="13"/>
    </row>
    <row r="16" spans="1:6" x14ac:dyDescent="0.25">
      <c r="A16" s="12"/>
      <c r="B16" s="46" t="s">
        <v>75</v>
      </c>
      <c r="C16" s="15"/>
      <c r="D16" s="14">
        <f>+((1.3*2.34)+(2.34*17%))*2</f>
        <v>6.8795999999999999</v>
      </c>
      <c r="E16" s="13"/>
    </row>
    <row r="17" spans="1:7" x14ac:dyDescent="0.25">
      <c r="A17" s="12"/>
      <c r="B17" s="46" t="s">
        <v>76</v>
      </c>
      <c r="C17" s="15"/>
      <c r="D17" s="14">
        <f>+((1.35*2.34)+(2.34*17%))*2</f>
        <v>7.1135999999999999</v>
      </c>
      <c r="E17" s="13"/>
    </row>
    <row r="18" spans="1:7" x14ac:dyDescent="0.25">
      <c r="A18" s="12"/>
      <c r="B18" s="15" t="s">
        <v>73</v>
      </c>
      <c r="C18" s="15"/>
      <c r="D18" s="14">
        <f>SUM(D20:D22)</f>
        <v>1.5209999999999999</v>
      </c>
      <c r="E18" s="13"/>
    </row>
    <row r="19" spans="1:7" x14ac:dyDescent="0.25">
      <c r="A19" s="12"/>
      <c r="B19" s="15" t="s">
        <v>67</v>
      </c>
      <c r="C19" s="15"/>
      <c r="D19" s="14"/>
      <c r="E19" s="13"/>
    </row>
    <row r="20" spans="1:7" s="20" customFormat="1" x14ac:dyDescent="0.25">
      <c r="A20" s="16"/>
      <c r="B20" s="17" t="s">
        <v>71</v>
      </c>
      <c r="C20" s="17"/>
      <c r="D20" s="18">
        <f>0.2*2.34*2</f>
        <v>0.93599999999999994</v>
      </c>
      <c r="E20" s="19"/>
    </row>
    <row r="21" spans="1:7" s="20" customFormat="1" x14ac:dyDescent="0.25">
      <c r="A21" s="16"/>
      <c r="B21" s="17" t="s">
        <v>72</v>
      </c>
      <c r="C21" s="17"/>
      <c r="D21" s="18">
        <f>0.15*2.34</f>
        <v>0.35099999999999998</v>
      </c>
      <c r="E21" s="19"/>
    </row>
    <row r="22" spans="1:7" s="20" customFormat="1" x14ac:dyDescent="0.25">
      <c r="A22" s="16"/>
      <c r="B22" s="17" t="s">
        <v>69</v>
      </c>
      <c r="C22" s="17"/>
      <c r="D22" s="18">
        <f>0.1*2.34</f>
        <v>0.23399999999999999</v>
      </c>
      <c r="E22" s="19"/>
    </row>
    <row r="23" spans="1:7" x14ac:dyDescent="0.25">
      <c r="A23" s="12" t="s">
        <v>68</v>
      </c>
      <c r="B23" s="15" t="s">
        <v>74</v>
      </c>
      <c r="C23" s="15"/>
      <c r="D23" s="14">
        <f>18*1.25*2.34</f>
        <v>52.65</v>
      </c>
      <c r="E23" s="13"/>
    </row>
    <row r="24" spans="1:7" x14ac:dyDescent="0.25">
      <c r="A24" s="12"/>
      <c r="B24" s="15" t="s">
        <v>77</v>
      </c>
      <c r="C24" s="15"/>
      <c r="D24" s="14">
        <f>+D25</f>
        <v>0.23399999999999999</v>
      </c>
      <c r="E24" s="13"/>
    </row>
    <row r="25" spans="1:7" s="20" customFormat="1" x14ac:dyDescent="0.25">
      <c r="A25" s="16"/>
      <c r="B25" s="17" t="s">
        <v>78</v>
      </c>
      <c r="C25" s="17"/>
      <c r="D25" s="18">
        <f>0.1*2.34</f>
        <v>0.23399999999999999</v>
      </c>
      <c r="E25" s="19"/>
    </row>
    <row r="26" spans="1:7" x14ac:dyDescent="0.25">
      <c r="A26" s="12">
        <v>5</v>
      </c>
      <c r="B26" s="15" t="s">
        <v>109</v>
      </c>
      <c r="C26" s="15"/>
      <c r="D26" s="14">
        <v>9.8000000000000007</v>
      </c>
      <c r="E26" s="13"/>
    </row>
    <row r="27" spans="1:7" s="3" customFormat="1" ht="14.25" x14ac:dyDescent="0.2">
      <c r="A27" s="8" t="s">
        <v>26</v>
      </c>
      <c r="B27" s="9" t="s">
        <v>50</v>
      </c>
      <c r="C27" s="9"/>
      <c r="D27" s="10">
        <f>+D28+D45+D49+D53+D57+D61+D66+D71+D76+D81+D86</f>
        <v>6765.7890752677995</v>
      </c>
      <c r="E27" s="9"/>
    </row>
    <row r="28" spans="1:7" s="38" customFormat="1" ht="14.25" x14ac:dyDescent="0.2">
      <c r="A28" s="69" t="s">
        <v>7</v>
      </c>
      <c r="B28" s="70" t="s">
        <v>6</v>
      </c>
      <c r="C28" s="70"/>
      <c r="D28" s="71">
        <f>+D29+D39+D41+D43</f>
        <v>1747</v>
      </c>
      <c r="E28" s="70"/>
    </row>
    <row r="29" spans="1:7" s="3" customFormat="1" ht="14.25" x14ac:dyDescent="0.2">
      <c r="A29" s="5" t="s">
        <v>49</v>
      </c>
      <c r="B29" s="11" t="s">
        <v>40</v>
      </c>
      <c r="C29" s="11"/>
      <c r="D29" s="7">
        <f>ROUND((D30+D31+D32+D33+D34+D38),0)</f>
        <v>1643</v>
      </c>
      <c r="E29" s="6"/>
      <c r="G29" s="83">
        <f>+D30+D31</f>
        <v>329.49339199999997</v>
      </c>
    </row>
    <row r="30" spans="1:7" x14ac:dyDescent="0.25">
      <c r="A30" s="12">
        <v>1</v>
      </c>
      <c r="B30" s="13" t="s">
        <v>5</v>
      </c>
      <c r="C30" s="13"/>
      <c r="D30" s="14">
        <f>+'[12]BẢNG LƯƠNG 25'!$U$10</f>
        <v>245.39299199999999</v>
      </c>
      <c r="E30" s="13"/>
      <c r="G30" s="37">
        <f>+G29+8</f>
        <v>337.49339199999997</v>
      </c>
    </row>
    <row r="31" spans="1:7" ht="30" x14ac:dyDescent="0.25">
      <c r="A31" s="12">
        <v>2</v>
      </c>
      <c r="B31" s="15" t="s">
        <v>10</v>
      </c>
      <c r="C31" s="15"/>
      <c r="D31" s="14">
        <f>332-D14-D100</f>
        <v>84.100400000000008</v>
      </c>
      <c r="E31" s="21"/>
    </row>
    <row r="32" spans="1:7" ht="30" x14ac:dyDescent="0.25">
      <c r="A32" s="12">
        <v>3</v>
      </c>
      <c r="B32" s="15" t="s">
        <v>11</v>
      </c>
      <c r="C32" s="15"/>
      <c r="D32" s="42">
        <f>+(D30+D31)*0.204819277108434+92</f>
        <v>159.48659836144589</v>
      </c>
      <c r="E32" s="13"/>
      <c r="F32" s="37">
        <f>109-17</f>
        <v>92</v>
      </c>
      <c r="G32" s="37"/>
    </row>
    <row r="33" spans="1:7" x14ac:dyDescent="0.25">
      <c r="A33" s="12">
        <v>4</v>
      </c>
      <c r="B33" s="15" t="s">
        <v>15</v>
      </c>
      <c r="C33" s="15"/>
      <c r="D33" s="43">
        <v>17</v>
      </c>
      <c r="E33" s="13"/>
    </row>
    <row r="34" spans="1:7" x14ac:dyDescent="0.25">
      <c r="A34" s="12">
        <v>5</v>
      </c>
      <c r="B34" s="15" t="s">
        <v>21</v>
      </c>
      <c r="C34" s="15"/>
      <c r="D34" s="14">
        <f>SUM(D35:D37)</f>
        <v>136.74972099999999</v>
      </c>
      <c r="E34" s="13"/>
    </row>
    <row r="35" spans="1:7" s="20" customFormat="1" x14ac:dyDescent="0.25">
      <c r="A35" s="16"/>
      <c r="B35" s="17" t="s">
        <v>38</v>
      </c>
      <c r="C35" s="17"/>
      <c r="D35" s="18">
        <v>100</v>
      </c>
      <c r="E35" s="19"/>
      <c r="G35" s="20">
        <v>3450</v>
      </c>
    </row>
    <row r="36" spans="1:7" s="20" customFormat="1" x14ac:dyDescent="0.25">
      <c r="A36" s="16"/>
      <c r="B36" s="17" t="s">
        <v>22</v>
      </c>
      <c r="C36" s="17"/>
      <c r="D36" s="18">
        <v>20</v>
      </c>
      <c r="E36" s="19"/>
      <c r="G36" s="20">
        <f>+G35*17%</f>
        <v>586.5</v>
      </c>
    </row>
    <row r="37" spans="1:7" s="20" customFormat="1" x14ac:dyDescent="0.25">
      <c r="A37" s="16"/>
      <c r="B37" s="17" t="s">
        <v>108</v>
      </c>
      <c r="C37" s="17"/>
      <c r="D37" s="18">
        <f>+'[2]HD 111'!$R$10-9.8</f>
        <v>16.749720999999994</v>
      </c>
      <c r="E37" s="19"/>
      <c r="G37" s="20">
        <f>+G35+G36</f>
        <v>4036.5</v>
      </c>
    </row>
    <row r="38" spans="1:7" s="20" customFormat="1" ht="30" x14ac:dyDescent="0.25">
      <c r="A38" s="16">
        <v>7</v>
      </c>
      <c r="B38" s="15" t="s">
        <v>60</v>
      </c>
      <c r="C38" s="17"/>
      <c r="D38" s="74">
        <v>1000</v>
      </c>
      <c r="E38" s="19"/>
      <c r="G38" s="20">
        <f>+G37*2</f>
        <v>8073</v>
      </c>
    </row>
    <row r="39" spans="1:7" s="3" customFormat="1" ht="14.25" x14ac:dyDescent="0.2">
      <c r="A39" s="5" t="s">
        <v>52</v>
      </c>
      <c r="B39" s="22" t="s">
        <v>9</v>
      </c>
      <c r="C39" s="22"/>
      <c r="D39" s="7">
        <f>ROUND((D40),0)</f>
        <v>29</v>
      </c>
      <c r="E39" s="6"/>
    </row>
    <row r="40" spans="1:7" ht="45" x14ac:dyDescent="0.25">
      <c r="A40" s="23">
        <v>1</v>
      </c>
      <c r="B40" s="15" t="s">
        <v>12</v>
      </c>
      <c r="C40" s="15"/>
      <c r="D40" s="14">
        <f>+'[2]Quốc phòng  - 1,49'!$M$9</f>
        <v>29</v>
      </c>
      <c r="E40" s="24"/>
      <c r="F40" s="25"/>
    </row>
    <row r="41" spans="1:7" s="3" customFormat="1" ht="14.25" x14ac:dyDescent="0.2">
      <c r="A41" s="26" t="s">
        <v>53</v>
      </c>
      <c r="B41" s="22" t="s">
        <v>17</v>
      </c>
      <c r="C41" s="22"/>
      <c r="D41" s="7">
        <f>ROUND((D42),0)</f>
        <v>57</v>
      </c>
      <c r="E41" s="27"/>
      <c r="F41" s="28"/>
    </row>
    <row r="42" spans="1:7" x14ac:dyDescent="0.25">
      <c r="A42" s="12">
        <v>1</v>
      </c>
      <c r="B42" s="15" t="s">
        <v>13</v>
      </c>
      <c r="C42" s="15"/>
      <c r="D42" s="14">
        <v>57</v>
      </c>
      <c r="E42" s="13"/>
    </row>
    <row r="43" spans="1:7" s="3" customFormat="1" ht="14.25" x14ac:dyDescent="0.2">
      <c r="A43" s="5" t="s">
        <v>54</v>
      </c>
      <c r="B43" s="22" t="s">
        <v>18</v>
      </c>
      <c r="C43" s="22"/>
      <c r="D43" s="7">
        <f>ROUND((D44),0)</f>
        <v>18</v>
      </c>
      <c r="E43" s="6"/>
    </row>
    <row r="44" spans="1:7" x14ac:dyDescent="0.25">
      <c r="A44" s="12">
        <v>1</v>
      </c>
      <c r="B44" s="15" t="s">
        <v>14</v>
      </c>
      <c r="C44" s="15"/>
      <c r="D44" s="14">
        <v>18</v>
      </c>
      <c r="E44" s="13"/>
    </row>
    <row r="45" spans="1:7" s="3" customFormat="1" ht="14.25" x14ac:dyDescent="0.2">
      <c r="A45" s="69" t="s">
        <v>4</v>
      </c>
      <c r="B45" s="73" t="s">
        <v>107</v>
      </c>
      <c r="C45" s="73"/>
      <c r="D45" s="71">
        <f>+D46</f>
        <v>119</v>
      </c>
      <c r="E45" s="70"/>
    </row>
    <row r="46" spans="1:7" x14ac:dyDescent="0.25">
      <c r="A46" s="5">
        <v>1</v>
      </c>
      <c r="B46" s="11" t="s">
        <v>40</v>
      </c>
      <c r="C46" s="15"/>
      <c r="D46" s="7">
        <f>ROUND((D47+D48),0)</f>
        <v>119</v>
      </c>
      <c r="E46" s="13"/>
    </row>
    <row r="47" spans="1:7" x14ac:dyDescent="0.25">
      <c r="A47" s="12"/>
      <c r="B47" s="13" t="s">
        <v>5</v>
      </c>
      <c r="C47" s="15"/>
      <c r="D47" s="14">
        <f>+'[12]BẢNG LƯƠNG 25'!$U$27</f>
        <v>99.072089999999989</v>
      </c>
      <c r="E47" s="13"/>
    </row>
    <row r="48" spans="1:7" ht="30" x14ac:dyDescent="0.25">
      <c r="A48" s="12"/>
      <c r="B48" s="15" t="s">
        <v>11</v>
      </c>
      <c r="C48" s="15"/>
      <c r="D48" s="14">
        <f>+D47*0.204819277108434</f>
        <v>20.291873855421684</v>
      </c>
      <c r="E48" s="13"/>
    </row>
    <row r="49" spans="1:5" s="3" customFormat="1" ht="14.25" x14ac:dyDescent="0.2">
      <c r="A49" s="69" t="s">
        <v>16</v>
      </c>
      <c r="B49" s="73" t="s">
        <v>110</v>
      </c>
      <c r="C49" s="73"/>
      <c r="D49" s="71">
        <f>+D50</f>
        <v>127</v>
      </c>
      <c r="E49" s="70"/>
    </row>
    <row r="50" spans="1:5" s="3" customFormat="1" x14ac:dyDescent="0.25">
      <c r="A50" s="5">
        <v>1</v>
      </c>
      <c r="B50" s="11" t="s">
        <v>40</v>
      </c>
      <c r="C50" s="15"/>
      <c r="D50" s="7">
        <f>ROUND((D51+D52),0)</f>
        <v>127</v>
      </c>
      <c r="E50" s="6"/>
    </row>
    <row r="51" spans="1:5" x14ac:dyDescent="0.25">
      <c r="A51" s="12"/>
      <c r="B51" s="13" t="s">
        <v>5</v>
      </c>
      <c r="C51" s="15"/>
      <c r="D51" s="14">
        <f>+'[12]BẢNG LƯƠNG 25'!$U$35</f>
        <v>105.288534</v>
      </c>
      <c r="E51" s="13"/>
    </row>
    <row r="52" spans="1:5" ht="30" x14ac:dyDescent="0.25">
      <c r="A52" s="12"/>
      <c r="B52" s="15" t="s">
        <v>11</v>
      </c>
      <c r="C52" s="15"/>
      <c r="D52" s="14">
        <f>+D51*0.204819277108434</f>
        <v>21.565121421686747</v>
      </c>
      <c r="E52" s="13"/>
    </row>
    <row r="53" spans="1:5" s="3" customFormat="1" ht="14.25" x14ac:dyDescent="0.2">
      <c r="A53" s="69" t="s">
        <v>19</v>
      </c>
      <c r="B53" s="73" t="s">
        <v>111</v>
      </c>
      <c r="C53" s="73"/>
      <c r="D53" s="71">
        <f>+D54</f>
        <v>118</v>
      </c>
      <c r="E53" s="70"/>
    </row>
    <row r="54" spans="1:5" s="3" customFormat="1" ht="14.25" x14ac:dyDescent="0.2">
      <c r="A54" s="5">
        <v>1</v>
      </c>
      <c r="B54" s="11" t="s">
        <v>40</v>
      </c>
      <c r="C54" s="22"/>
      <c r="D54" s="7">
        <f>ROUND((D55+D56),0)</f>
        <v>118</v>
      </c>
      <c r="E54" s="6"/>
    </row>
    <row r="55" spans="1:5" x14ac:dyDescent="0.25">
      <c r="A55" s="12"/>
      <c r="B55" s="13" t="s">
        <v>5</v>
      </c>
      <c r="C55" s="15"/>
      <c r="D55" s="14">
        <f>+'[12]BẢNG LƯƠNG 25'!$U$43</f>
        <v>98.308313999999996</v>
      </c>
      <c r="E55" s="13"/>
    </row>
    <row r="56" spans="1:5" ht="30" x14ac:dyDescent="0.25">
      <c r="A56" s="12"/>
      <c r="B56" s="15" t="s">
        <v>11</v>
      </c>
      <c r="C56" s="15"/>
      <c r="D56" s="14">
        <f>+D55*0.204819277108434</f>
        <v>20.135437807228914</v>
      </c>
      <c r="E56" s="13"/>
    </row>
    <row r="57" spans="1:5" s="39" customFormat="1" x14ac:dyDescent="0.25">
      <c r="A57" s="69" t="s">
        <v>24</v>
      </c>
      <c r="B57" s="73" t="s">
        <v>41</v>
      </c>
      <c r="C57" s="73"/>
      <c r="D57" s="71">
        <f>+D58</f>
        <v>47</v>
      </c>
      <c r="E57" s="70"/>
    </row>
    <row r="58" spans="1:5" s="39" customFormat="1" x14ac:dyDescent="0.25">
      <c r="A58" s="29">
        <v>1</v>
      </c>
      <c r="B58" s="11" t="s">
        <v>55</v>
      </c>
      <c r="C58" s="11"/>
      <c r="D58" s="30">
        <f>ROUND((D59+D60),0)</f>
        <v>47</v>
      </c>
      <c r="E58" s="31"/>
    </row>
    <row r="59" spans="1:5" s="39" customFormat="1" x14ac:dyDescent="0.25">
      <c r="A59" s="40"/>
      <c r="B59" s="41" t="s">
        <v>5</v>
      </c>
      <c r="C59" s="41"/>
      <c r="D59" s="42">
        <f>+'[11]BẢNG LƯƠNG 25'!$U$10/1000000</f>
        <v>39.281334300000005</v>
      </c>
      <c r="E59" s="41"/>
    </row>
    <row r="60" spans="1:5" s="39" customFormat="1" ht="30" x14ac:dyDescent="0.25">
      <c r="A60" s="40"/>
      <c r="B60" s="32" t="s">
        <v>11</v>
      </c>
      <c r="C60" s="32"/>
      <c r="D60" s="42">
        <f>+D59*0.204819277108434</f>
        <v>8.0455744951807233</v>
      </c>
      <c r="E60" s="41"/>
    </row>
    <row r="61" spans="1:5" s="39" customFormat="1" x14ac:dyDescent="0.25">
      <c r="A61" s="69" t="s">
        <v>56</v>
      </c>
      <c r="B61" s="73" t="s">
        <v>27</v>
      </c>
      <c r="C61" s="73"/>
      <c r="D61" s="71">
        <f>+D62</f>
        <v>635</v>
      </c>
      <c r="E61" s="72"/>
    </row>
    <row r="62" spans="1:5" s="38" customFormat="1" ht="14.25" x14ac:dyDescent="0.2">
      <c r="A62" s="29">
        <v>1</v>
      </c>
      <c r="B62" s="11" t="s">
        <v>28</v>
      </c>
      <c r="C62" s="11"/>
      <c r="D62" s="30">
        <f>ROUND((D63+D64+D65),0)</f>
        <v>635</v>
      </c>
      <c r="E62" s="31"/>
    </row>
    <row r="63" spans="1:5" s="39" customFormat="1" x14ac:dyDescent="0.25">
      <c r="A63" s="40"/>
      <c r="B63" s="32" t="s">
        <v>5</v>
      </c>
      <c r="C63" s="32"/>
      <c r="D63" s="42">
        <f>+[1]T06.2025.MNHL!$T$59</f>
        <v>614</v>
      </c>
      <c r="E63" s="41"/>
    </row>
    <row r="64" spans="1:5" s="39" customFormat="1" x14ac:dyDescent="0.25">
      <c r="A64" s="40"/>
      <c r="B64" s="41" t="s">
        <v>29</v>
      </c>
      <c r="C64" s="41"/>
      <c r="D64" s="42">
        <f>+'[1]Hợp đồng 111'!$E$6</f>
        <v>8.3834999999999997</v>
      </c>
      <c r="E64" s="41"/>
    </row>
    <row r="65" spans="1:5" s="39" customFormat="1" x14ac:dyDescent="0.25">
      <c r="A65" s="40"/>
      <c r="B65" s="41" t="s">
        <v>30</v>
      </c>
      <c r="C65" s="41"/>
      <c r="D65" s="42">
        <f>+D63*2%</f>
        <v>12.280000000000001</v>
      </c>
      <c r="E65" s="41"/>
    </row>
    <row r="66" spans="1:5" s="38" customFormat="1" ht="14.25" x14ac:dyDescent="0.2">
      <c r="A66" s="69" t="s">
        <v>57</v>
      </c>
      <c r="B66" s="70" t="s">
        <v>32</v>
      </c>
      <c r="C66" s="70"/>
      <c r="D66" s="71">
        <f>+D67</f>
        <v>889</v>
      </c>
      <c r="E66" s="70"/>
    </row>
    <row r="67" spans="1:5" s="39" customFormat="1" x14ac:dyDescent="0.25">
      <c r="A67" s="29">
        <v>1</v>
      </c>
      <c r="B67" s="11" t="s">
        <v>28</v>
      </c>
      <c r="C67" s="11"/>
      <c r="D67" s="30">
        <f>ROUND((D68+D69+D70),0)</f>
        <v>889</v>
      </c>
      <c r="E67" s="41"/>
    </row>
    <row r="68" spans="1:5" s="39" customFormat="1" x14ac:dyDescent="0.25">
      <c r="A68" s="40"/>
      <c r="B68" s="32" t="s">
        <v>5</v>
      </c>
      <c r="C68" s="32"/>
      <c r="D68" s="42">
        <f>+'[3]LƯƠNG T1'!$T$68</f>
        <v>863</v>
      </c>
      <c r="E68" s="41"/>
    </row>
    <row r="69" spans="1:5" s="39" customFormat="1" x14ac:dyDescent="0.25">
      <c r="A69" s="40"/>
      <c r="B69" s="41" t="s">
        <v>29</v>
      </c>
      <c r="C69" s="41"/>
      <c r="D69" s="42">
        <f>+'[3]HD 111'!$F$4+'[3]HD 111'!$F$3</f>
        <v>8.3834999999999997</v>
      </c>
      <c r="E69" s="41"/>
    </row>
    <row r="70" spans="1:5" s="39" customFormat="1" x14ac:dyDescent="0.25">
      <c r="A70" s="40"/>
      <c r="B70" s="41" t="s">
        <v>30</v>
      </c>
      <c r="C70" s="41"/>
      <c r="D70" s="42">
        <f>+D68*2%</f>
        <v>17.260000000000002</v>
      </c>
      <c r="E70" s="41"/>
    </row>
    <row r="71" spans="1:5" s="38" customFormat="1" ht="14.25" x14ac:dyDescent="0.2">
      <c r="A71" s="69" t="s">
        <v>58</v>
      </c>
      <c r="B71" s="70" t="s">
        <v>33</v>
      </c>
      <c r="C71" s="70"/>
      <c r="D71" s="71">
        <f>+D72</f>
        <v>837</v>
      </c>
      <c r="E71" s="70"/>
    </row>
    <row r="72" spans="1:5" s="39" customFormat="1" x14ac:dyDescent="0.25">
      <c r="A72" s="29">
        <v>1</v>
      </c>
      <c r="B72" s="11" t="s">
        <v>28</v>
      </c>
      <c r="C72" s="11"/>
      <c r="D72" s="30">
        <f>ROUND((D73+D74+D75),0)</f>
        <v>837</v>
      </c>
      <c r="E72" s="41"/>
    </row>
    <row r="73" spans="1:5" s="39" customFormat="1" x14ac:dyDescent="0.25">
      <c r="A73" s="40"/>
      <c r="B73" s="32" t="s">
        <v>5</v>
      </c>
      <c r="C73" s="32"/>
      <c r="D73" s="42">
        <f>+'[4]t1-2024'!$Y$46</f>
        <v>816.4</v>
      </c>
      <c r="E73" s="41"/>
    </row>
    <row r="74" spans="1:5" s="39" customFormat="1" x14ac:dyDescent="0.25">
      <c r="A74" s="40"/>
      <c r="B74" s="41" t="s">
        <v>29</v>
      </c>
      <c r="C74" s="41"/>
      <c r="D74" s="42">
        <f>+'[4]HD 111'!$E$6</f>
        <v>4.1917499999999999</v>
      </c>
      <c r="E74" s="41"/>
    </row>
    <row r="75" spans="1:5" s="39" customFormat="1" x14ac:dyDescent="0.25">
      <c r="A75" s="40"/>
      <c r="B75" s="41" t="s">
        <v>30</v>
      </c>
      <c r="C75" s="41"/>
      <c r="D75" s="42">
        <f>+D73*2%</f>
        <v>16.327999999999999</v>
      </c>
      <c r="E75" s="41"/>
    </row>
    <row r="76" spans="1:5" s="38" customFormat="1" ht="14.25" x14ac:dyDescent="0.2">
      <c r="A76" s="69" t="s">
        <v>112</v>
      </c>
      <c r="B76" s="70" t="s">
        <v>34</v>
      </c>
      <c r="C76" s="70"/>
      <c r="D76" s="71">
        <f>+D77</f>
        <v>653</v>
      </c>
      <c r="E76" s="70"/>
    </row>
    <row r="77" spans="1:5" s="39" customFormat="1" x14ac:dyDescent="0.25">
      <c r="A77" s="40">
        <v>1</v>
      </c>
      <c r="B77" s="11" t="s">
        <v>28</v>
      </c>
      <c r="C77" s="11"/>
      <c r="D77" s="30">
        <f>ROUND((D78+D79+D80),0)</f>
        <v>653</v>
      </c>
      <c r="E77" s="41"/>
    </row>
    <row r="78" spans="1:5" s="39" customFormat="1" x14ac:dyDescent="0.25">
      <c r="A78" s="40"/>
      <c r="B78" s="32" t="s">
        <v>5</v>
      </c>
      <c r="C78" s="32"/>
      <c r="D78" s="42">
        <f>+'[5]Tháng 4.2025   '!$T$53</f>
        <v>632</v>
      </c>
      <c r="E78" s="41"/>
    </row>
    <row r="79" spans="1:5" s="39" customFormat="1" x14ac:dyDescent="0.25">
      <c r="A79" s="40"/>
      <c r="B79" s="41" t="s">
        <v>29</v>
      </c>
      <c r="C79" s="41"/>
      <c r="D79" s="42">
        <f>+'[5]HĐ 11'!$F$3+'[5]HĐ 11'!$F$4</f>
        <v>8.3834999999999997</v>
      </c>
      <c r="E79" s="41"/>
    </row>
    <row r="80" spans="1:5" s="39" customFormat="1" x14ac:dyDescent="0.25">
      <c r="A80" s="40"/>
      <c r="B80" s="41" t="s">
        <v>30</v>
      </c>
      <c r="C80" s="41"/>
      <c r="D80" s="42">
        <f>+D78*2%</f>
        <v>12.64</v>
      </c>
      <c r="E80" s="41"/>
    </row>
    <row r="81" spans="1:6" s="38" customFormat="1" ht="14.25" x14ac:dyDescent="0.2">
      <c r="A81" s="69" t="s">
        <v>113</v>
      </c>
      <c r="B81" s="70" t="s">
        <v>35</v>
      </c>
      <c r="C81" s="70"/>
      <c r="D81" s="71">
        <f>+D82</f>
        <v>641</v>
      </c>
      <c r="E81" s="70"/>
    </row>
    <row r="82" spans="1:6" s="39" customFormat="1" x14ac:dyDescent="0.25">
      <c r="A82" s="40" t="s">
        <v>7</v>
      </c>
      <c r="B82" s="11" t="s">
        <v>28</v>
      </c>
      <c r="C82" s="11"/>
      <c r="D82" s="30">
        <f>ROUND((D83+D84+D85),)</f>
        <v>641</v>
      </c>
      <c r="E82" s="41"/>
    </row>
    <row r="83" spans="1:6" s="39" customFormat="1" x14ac:dyDescent="0.25">
      <c r="A83" s="40"/>
      <c r="B83" s="32" t="s">
        <v>5</v>
      </c>
      <c r="C83" s="32"/>
      <c r="D83" s="42">
        <f>+'[6]6-2025'!$W$43</f>
        <v>624</v>
      </c>
      <c r="E83" s="41"/>
    </row>
    <row r="84" spans="1:6" s="39" customFormat="1" x14ac:dyDescent="0.25">
      <c r="A84" s="40"/>
      <c r="B84" s="41" t="s">
        <v>29</v>
      </c>
      <c r="C84" s="41"/>
      <c r="D84" s="42">
        <f>+[6]HD111!$E$2</f>
        <v>4.1917499999999999</v>
      </c>
      <c r="E84" s="41"/>
    </row>
    <row r="85" spans="1:6" s="39" customFormat="1" x14ac:dyDescent="0.25">
      <c r="A85" s="40"/>
      <c r="B85" s="41" t="s">
        <v>30</v>
      </c>
      <c r="C85" s="41"/>
      <c r="D85" s="42">
        <f>+D83*2%</f>
        <v>12.48</v>
      </c>
      <c r="E85" s="41"/>
    </row>
    <row r="86" spans="1:6" s="38" customFormat="1" ht="14.25" x14ac:dyDescent="0.2">
      <c r="A86" s="69" t="s">
        <v>114</v>
      </c>
      <c r="B86" s="70" t="s">
        <v>36</v>
      </c>
      <c r="C86" s="70"/>
      <c r="D86" s="71">
        <f>+D87</f>
        <v>952.78907526779994</v>
      </c>
      <c r="E86" s="70"/>
      <c r="F86" s="38">
        <v>953</v>
      </c>
    </row>
    <row r="87" spans="1:6" s="39" customFormat="1" x14ac:dyDescent="0.25">
      <c r="A87" s="29" t="s">
        <v>7</v>
      </c>
      <c r="B87" s="11" t="s">
        <v>28</v>
      </c>
      <c r="C87" s="11"/>
      <c r="D87" s="30">
        <f>+D88+D91</f>
        <v>952.78907526779994</v>
      </c>
      <c r="E87" s="41"/>
    </row>
    <row r="88" spans="1:6" s="39" customFormat="1" x14ac:dyDescent="0.25">
      <c r="A88" s="40"/>
      <c r="B88" s="11" t="s">
        <v>120</v>
      </c>
      <c r="C88" s="11"/>
      <c r="D88" s="30">
        <f>+D89+D90</f>
        <v>236.52557526779995</v>
      </c>
      <c r="E88" s="41"/>
    </row>
    <row r="89" spans="1:6" s="39" customFormat="1" x14ac:dyDescent="0.25">
      <c r="A89" s="40"/>
      <c r="B89" s="32" t="s">
        <v>5</v>
      </c>
      <c r="C89" s="32"/>
      <c r="D89" s="42">
        <f>+'[13]T6 072'!$T$29</f>
        <v>231.88781888999995</v>
      </c>
      <c r="E89" s="41"/>
    </row>
    <row r="90" spans="1:6" s="39" customFormat="1" x14ac:dyDescent="0.25">
      <c r="A90" s="40"/>
      <c r="B90" s="41" t="s">
        <v>30</v>
      </c>
      <c r="C90" s="41"/>
      <c r="D90" s="42">
        <f>+D89*2%</f>
        <v>4.6377563777999988</v>
      </c>
      <c r="E90" s="41"/>
    </row>
    <row r="91" spans="1:6" s="38" customFormat="1" ht="14.25" x14ac:dyDescent="0.2">
      <c r="A91" s="29"/>
      <c r="B91" s="31" t="s">
        <v>121</v>
      </c>
      <c r="C91" s="31"/>
      <c r="D91" s="30">
        <f>+D92+D93+D94</f>
        <v>716.26350000000002</v>
      </c>
      <c r="E91" s="31"/>
    </row>
    <row r="92" spans="1:6" s="39" customFormat="1" x14ac:dyDescent="0.25">
      <c r="A92" s="40"/>
      <c r="B92" s="32" t="s">
        <v>5</v>
      </c>
      <c r="C92" s="32"/>
      <c r="D92" s="42">
        <f>+'[13]T6 073'!$T$51</f>
        <v>694</v>
      </c>
      <c r="E92" s="41"/>
    </row>
    <row r="93" spans="1:6" s="39" customFormat="1" x14ac:dyDescent="0.25">
      <c r="A93" s="40"/>
      <c r="B93" s="41" t="s">
        <v>29</v>
      </c>
      <c r="C93" s="41"/>
      <c r="D93" s="42">
        <f>+'[7]HD 111'!$F$5+'[7]HD 111'!$F$4</f>
        <v>8.3834999999999997</v>
      </c>
      <c r="E93" s="41"/>
    </row>
    <row r="94" spans="1:6" s="39" customFormat="1" x14ac:dyDescent="0.25">
      <c r="A94" s="40"/>
      <c r="B94" s="41" t="s">
        <v>30</v>
      </c>
      <c r="C94" s="41"/>
      <c r="D94" s="42">
        <f>+D92*2%</f>
        <v>13.88</v>
      </c>
      <c r="E94" s="41"/>
    </row>
    <row r="95" spans="1:6" s="3" customFormat="1" ht="14.25" x14ac:dyDescent="0.2">
      <c r="A95" s="8" t="s">
        <v>31</v>
      </c>
      <c r="B95" s="9" t="s">
        <v>51</v>
      </c>
      <c r="C95" s="9"/>
      <c r="D95" s="10">
        <f>+D96</f>
        <v>401</v>
      </c>
      <c r="E95" s="9"/>
    </row>
    <row r="96" spans="1:6" s="3" customFormat="1" ht="14.25" x14ac:dyDescent="0.2">
      <c r="A96" s="69" t="s">
        <v>7</v>
      </c>
      <c r="B96" s="73" t="s">
        <v>39</v>
      </c>
      <c r="C96" s="73"/>
      <c r="D96" s="71">
        <f>+D97</f>
        <v>401</v>
      </c>
      <c r="E96" s="70"/>
    </row>
    <row r="97" spans="1:7" s="3" customFormat="1" ht="14.25" x14ac:dyDescent="0.2">
      <c r="A97" s="29" t="s">
        <v>49</v>
      </c>
      <c r="B97" s="11" t="s">
        <v>40</v>
      </c>
      <c r="C97" s="11"/>
      <c r="D97" s="30">
        <f>ROUND((D98+D99+D100),0)</f>
        <v>401</v>
      </c>
      <c r="E97" s="31"/>
    </row>
    <row r="98" spans="1:7" x14ac:dyDescent="0.25">
      <c r="A98" s="12">
        <v>1</v>
      </c>
      <c r="B98" s="13" t="s">
        <v>5</v>
      </c>
      <c r="C98" s="13"/>
      <c r="D98" s="14">
        <f>+'[9]BẢNG LƯƠNG 25 (2)'!$R$10/1000000</f>
        <v>153.44269199999999</v>
      </c>
      <c r="E98" s="13"/>
    </row>
    <row r="99" spans="1:7" ht="30" x14ac:dyDescent="0.25">
      <c r="A99" s="12">
        <v>2</v>
      </c>
      <c r="B99" s="15" t="s">
        <v>11</v>
      </c>
      <c r="C99" s="15"/>
      <c r="D99" s="14">
        <f>+(D98+D100)*0.204819277108434</f>
        <v>68.193368240963949</v>
      </c>
      <c r="E99" s="13"/>
    </row>
    <row r="100" spans="1:7" ht="30" x14ac:dyDescent="0.25">
      <c r="A100" s="12">
        <v>3</v>
      </c>
      <c r="B100" s="15" t="s">
        <v>66</v>
      </c>
      <c r="C100" s="15"/>
      <c r="D100" s="14">
        <f>+D101+D104+D109+D110+D112</f>
        <v>179.50140000000002</v>
      </c>
      <c r="E100" s="13"/>
    </row>
    <row r="101" spans="1:7" ht="75" x14ac:dyDescent="0.25">
      <c r="A101" s="12" t="s">
        <v>68</v>
      </c>
      <c r="B101" s="15" t="s">
        <v>79</v>
      </c>
      <c r="C101" s="15"/>
      <c r="D101" s="14">
        <f>+D102+D103</f>
        <v>97.952400000000011</v>
      </c>
      <c r="E101" s="13"/>
    </row>
    <row r="102" spans="1:7" x14ac:dyDescent="0.25">
      <c r="A102" s="12"/>
      <c r="B102" s="46" t="s">
        <v>75</v>
      </c>
      <c r="C102" s="15"/>
      <c r="D102" s="14">
        <f>+((1.3*2.34)+(2.34*17%))*14</f>
        <v>48.157200000000003</v>
      </c>
      <c r="E102" s="13"/>
    </row>
    <row r="103" spans="1:7" x14ac:dyDescent="0.25">
      <c r="A103" s="12"/>
      <c r="B103" s="46" t="s">
        <v>76</v>
      </c>
      <c r="C103" s="15"/>
      <c r="D103" s="14">
        <f>+((1.35*2.34)+(2.34*17%))*14</f>
        <v>49.795200000000001</v>
      </c>
      <c r="E103" s="13"/>
    </row>
    <row r="104" spans="1:7" x14ac:dyDescent="0.25">
      <c r="A104" s="12"/>
      <c r="B104" s="15" t="s">
        <v>77</v>
      </c>
      <c r="C104" s="15"/>
      <c r="D104" s="14">
        <f>+D106+D107+D108</f>
        <v>3.3929999999999998</v>
      </c>
      <c r="E104" s="13"/>
    </row>
    <row r="105" spans="1:7" x14ac:dyDescent="0.25">
      <c r="A105" s="12"/>
      <c r="B105" s="15" t="s">
        <v>67</v>
      </c>
      <c r="C105" s="15"/>
      <c r="D105" s="14"/>
      <c r="E105" s="13"/>
    </row>
    <row r="106" spans="1:7" x14ac:dyDescent="0.25">
      <c r="A106" s="16"/>
      <c r="B106" s="17" t="s">
        <v>84</v>
      </c>
      <c r="C106" s="15"/>
      <c r="D106" s="14">
        <f>0.2*4*2.34</f>
        <v>1.8719999999999999</v>
      </c>
      <c r="E106" s="13"/>
    </row>
    <row r="107" spans="1:7" x14ac:dyDescent="0.25">
      <c r="A107" s="16"/>
      <c r="B107" s="17" t="s">
        <v>80</v>
      </c>
      <c r="C107" s="15"/>
      <c r="D107" s="14">
        <f>0.15*2.34</f>
        <v>0.35099999999999998</v>
      </c>
      <c r="E107" s="13"/>
    </row>
    <row r="108" spans="1:7" x14ac:dyDescent="0.25">
      <c r="A108" s="16"/>
      <c r="B108" s="17" t="s">
        <v>85</v>
      </c>
      <c r="C108" s="15"/>
      <c r="D108" s="14">
        <f>0.1*5*2.34</f>
        <v>1.17</v>
      </c>
      <c r="E108" s="13"/>
      <c r="G108" s="37"/>
    </row>
    <row r="109" spans="1:7" x14ac:dyDescent="0.25">
      <c r="A109" s="12" t="s">
        <v>68</v>
      </c>
      <c r="B109" s="15" t="s">
        <v>81</v>
      </c>
      <c r="C109" s="15"/>
      <c r="D109" s="14">
        <f>18*1.05*2.34</f>
        <v>44.225999999999999</v>
      </c>
      <c r="E109" s="13"/>
    </row>
    <row r="110" spans="1:7" x14ac:dyDescent="0.25">
      <c r="A110" s="12"/>
      <c r="B110" s="15" t="s">
        <v>77</v>
      </c>
      <c r="C110" s="15"/>
      <c r="D110" s="14">
        <f>+D111</f>
        <v>0.23399999999999999</v>
      </c>
      <c r="E110" s="13"/>
    </row>
    <row r="111" spans="1:7" x14ac:dyDescent="0.25">
      <c r="A111" s="16"/>
      <c r="B111" s="17" t="s">
        <v>82</v>
      </c>
      <c r="C111" s="15"/>
      <c r="D111" s="14">
        <f>0.1*2.34</f>
        <v>0.23399999999999999</v>
      </c>
      <c r="E111" s="13"/>
    </row>
    <row r="112" spans="1:7" ht="45" x14ac:dyDescent="0.25">
      <c r="A112" s="12" t="s">
        <v>68</v>
      </c>
      <c r="B112" s="15" t="s">
        <v>83</v>
      </c>
      <c r="C112" s="15"/>
      <c r="D112" s="14">
        <f>0.2*2.34*72</f>
        <v>33.695999999999998</v>
      </c>
      <c r="E112" s="13"/>
    </row>
    <row r="113" spans="1:5" s="3" customFormat="1" ht="14.25" x14ac:dyDescent="0.2">
      <c r="A113" s="35"/>
      <c r="B113" s="35" t="s">
        <v>8</v>
      </c>
      <c r="C113" s="35"/>
      <c r="D113" s="82">
        <f>+D8+D27+D95</f>
        <v>8139.7890752677995</v>
      </c>
      <c r="E113" s="35"/>
    </row>
    <row r="114" spans="1:5" x14ac:dyDescent="0.25">
      <c r="A114" s="12"/>
      <c r="B114" s="13" t="s">
        <v>59</v>
      </c>
      <c r="C114" s="13"/>
      <c r="D114" s="14">
        <f>+C4-D113</f>
        <v>1360.2109247322005</v>
      </c>
      <c r="E114" s="13"/>
    </row>
    <row r="115" spans="1:5" x14ac:dyDescent="0.25">
      <c r="D115" s="4"/>
    </row>
  </sheetData>
  <mergeCells count="1">
    <mergeCell ref="A1:E1"/>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28"/>
  <sheetViews>
    <sheetView topLeftCell="A10" workbookViewId="0">
      <selection activeCell="H17" sqref="H17"/>
    </sheetView>
  </sheetViews>
  <sheetFormatPr defaultRowHeight="15.75" x14ac:dyDescent="0.25"/>
  <cols>
    <col min="1" max="1" width="5.42578125" style="144" customWidth="1"/>
    <col min="2" max="2" width="36.140625" style="125" customWidth="1"/>
    <col min="3" max="3" width="9.140625" style="144"/>
    <col min="4" max="4" width="8" style="144" customWidth="1"/>
    <col min="5" max="5" width="9.140625" style="144"/>
    <col min="6" max="6" width="8.28515625" style="144" customWidth="1"/>
    <col min="7" max="7" width="19.7109375" style="145" customWidth="1"/>
    <col min="8" max="16384" width="9.140625" style="125"/>
  </cols>
  <sheetData>
    <row r="1" spans="1:7" s="120" customFormat="1" ht="37.15" customHeight="1" x14ac:dyDescent="0.25">
      <c r="A1" s="307" t="str">
        <f>'Văn phòng Đảng ủy'!A1:G1</f>
        <v>BIỂU GIAO DỰ TOÁN KINH PHÍ NĂM 2025
 (THỜI GIAN THỰC HIỆN TỪ 01/7/2025 ĐẾN 31/12/2025)</v>
      </c>
      <c r="B1" s="308"/>
      <c r="C1" s="308"/>
      <c r="D1" s="308"/>
      <c r="E1" s="308"/>
      <c r="F1" s="308"/>
      <c r="G1" s="308"/>
    </row>
    <row r="2" spans="1:7" s="120" customFormat="1" ht="24" customHeight="1" x14ac:dyDescent="0.25">
      <c r="A2" s="309" t="str">
        <f>+'Văn phòng Đảng ủy'!A2:G2</f>
        <v>(Kèm theo Quyết định số 815/QĐ-UBND ngày 05  tháng 11 năm 2025 của UBND xã)</v>
      </c>
      <c r="B2" s="309"/>
      <c r="C2" s="309"/>
      <c r="D2" s="309"/>
      <c r="E2" s="309"/>
      <c r="F2" s="309"/>
      <c r="G2" s="309"/>
    </row>
    <row r="3" spans="1:7" s="122" customFormat="1" ht="24" customHeight="1" x14ac:dyDescent="0.25">
      <c r="A3" s="121" t="s">
        <v>97</v>
      </c>
      <c r="C3" s="119"/>
      <c r="D3" s="119"/>
      <c r="E3" s="119"/>
      <c r="F3" s="310" t="s">
        <v>93</v>
      </c>
      <c r="G3" s="310"/>
    </row>
    <row r="4" spans="1:7" ht="71.25" customHeight="1" x14ac:dyDescent="0.25">
      <c r="A4" s="123" t="s">
        <v>2</v>
      </c>
      <c r="B4" s="123" t="s">
        <v>3</v>
      </c>
      <c r="C4" s="123" t="s">
        <v>87</v>
      </c>
      <c r="D4" s="123" t="s">
        <v>88</v>
      </c>
      <c r="E4" s="123" t="s">
        <v>89</v>
      </c>
      <c r="F4" s="123" t="s">
        <v>90</v>
      </c>
      <c r="G4" s="124" t="s">
        <v>157</v>
      </c>
    </row>
    <row r="5" spans="1:7" ht="21" customHeight="1" x14ac:dyDescent="0.25">
      <c r="A5" s="126"/>
      <c r="B5" s="127" t="s">
        <v>94</v>
      </c>
      <c r="C5" s="126"/>
      <c r="D5" s="126"/>
      <c r="E5" s="126"/>
      <c r="F5" s="126"/>
      <c r="G5" s="128">
        <f>+G6+G12+G19</f>
        <v>6759000000</v>
      </c>
    </row>
    <row r="6" spans="1:7" s="129" customFormat="1" ht="21" customHeight="1" x14ac:dyDescent="0.25">
      <c r="A6" s="126" t="s">
        <v>7</v>
      </c>
      <c r="B6" s="127" t="s">
        <v>99</v>
      </c>
      <c r="C6" s="126"/>
      <c r="D6" s="126"/>
      <c r="E6" s="126"/>
      <c r="F6" s="126"/>
      <c r="G6" s="128">
        <f>+G7+G8</f>
        <v>5187000000</v>
      </c>
    </row>
    <row r="7" spans="1:7" ht="30" customHeight="1" x14ac:dyDescent="0.25">
      <c r="A7" s="130">
        <v>1</v>
      </c>
      <c r="B7" s="131" t="s">
        <v>229</v>
      </c>
      <c r="C7" s="130">
        <v>830</v>
      </c>
      <c r="D7" s="130">
        <v>340</v>
      </c>
      <c r="E7" s="130">
        <v>341</v>
      </c>
      <c r="F7" s="130">
        <v>13</v>
      </c>
      <c r="G7" s="132">
        <f>4595000000+40000000</f>
        <v>4635000000</v>
      </c>
    </row>
    <row r="8" spans="1:7" x14ac:dyDescent="0.25">
      <c r="A8" s="133">
        <v>2</v>
      </c>
      <c r="B8" s="131" t="s">
        <v>122</v>
      </c>
      <c r="C8" s="134"/>
      <c r="D8" s="134"/>
      <c r="E8" s="134"/>
      <c r="F8" s="135"/>
      <c r="G8" s="136">
        <f>+G9+G10+G11</f>
        <v>552000000</v>
      </c>
    </row>
    <row r="9" spans="1:7" s="255" customFormat="1" ht="31.5" x14ac:dyDescent="0.25">
      <c r="A9" s="134" t="s">
        <v>68</v>
      </c>
      <c r="B9" s="114" t="s">
        <v>126</v>
      </c>
      <c r="C9" s="134">
        <v>830</v>
      </c>
      <c r="D9" s="134">
        <v>340</v>
      </c>
      <c r="E9" s="134">
        <v>341</v>
      </c>
      <c r="F9" s="134">
        <v>12</v>
      </c>
      <c r="G9" s="146">
        <v>300000000</v>
      </c>
    </row>
    <row r="10" spans="1:7" s="255" customFormat="1" ht="47.25" x14ac:dyDescent="0.25">
      <c r="A10" s="134" t="s">
        <v>68</v>
      </c>
      <c r="B10" s="114" t="s">
        <v>125</v>
      </c>
      <c r="C10" s="134">
        <v>830</v>
      </c>
      <c r="D10" s="134">
        <v>340</v>
      </c>
      <c r="E10" s="134">
        <v>341</v>
      </c>
      <c r="F10" s="134">
        <v>12</v>
      </c>
      <c r="G10" s="146">
        <v>34000000</v>
      </c>
    </row>
    <row r="11" spans="1:7" s="139" customFormat="1" ht="31.5" x14ac:dyDescent="0.25">
      <c r="A11" s="118" t="s">
        <v>68</v>
      </c>
      <c r="B11" s="90" t="s">
        <v>160</v>
      </c>
      <c r="C11" s="134">
        <v>830</v>
      </c>
      <c r="D11" s="134">
        <v>340</v>
      </c>
      <c r="E11" s="134">
        <v>341</v>
      </c>
      <c r="F11" s="134">
        <v>18</v>
      </c>
      <c r="G11" s="138">
        <v>218000000</v>
      </c>
    </row>
    <row r="12" spans="1:7" s="129" customFormat="1" x14ac:dyDescent="0.25">
      <c r="A12" s="140" t="s">
        <v>4</v>
      </c>
      <c r="B12" s="141" t="s">
        <v>9</v>
      </c>
      <c r="C12" s="140"/>
      <c r="D12" s="140"/>
      <c r="E12" s="140"/>
      <c r="F12" s="140"/>
      <c r="G12" s="142">
        <f>+G13+G14</f>
        <v>768000000</v>
      </c>
    </row>
    <row r="13" spans="1:7" x14ac:dyDescent="0.25">
      <c r="A13" s="133">
        <v>1</v>
      </c>
      <c r="B13" s="143" t="s">
        <v>92</v>
      </c>
      <c r="C13" s="130">
        <v>830</v>
      </c>
      <c r="D13" s="232" t="s">
        <v>161</v>
      </c>
      <c r="E13" s="232" t="s">
        <v>162</v>
      </c>
      <c r="F13" s="133">
        <v>13</v>
      </c>
      <c r="G13" s="136">
        <v>580000000</v>
      </c>
    </row>
    <row r="14" spans="1:7" x14ac:dyDescent="0.25">
      <c r="A14" s="133">
        <v>2</v>
      </c>
      <c r="B14" s="111" t="s">
        <v>143</v>
      </c>
      <c r="C14" s="130"/>
      <c r="D14" s="232"/>
      <c r="E14" s="232"/>
      <c r="F14" s="133"/>
      <c r="G14" s="136">
        <f>SUM(G15:G18)</f>
        <v>188000000</v>
      </c>
    </row>
    <row r="15" spans="1:7" x14ac:dyDescent="0.25">
      <c r="A15" s="118" t="s">
        <v>68</v>
      </c>
      <c r="B15" s="114" t="s">
        <v>154</v>
      </c>
      <c r="C15" s="134">
        <v>830</v>
      </c>
      <c r="D15" s="295" t="s">
        <v>161</v>
      </c>
      <c r="E15" s="295" t="s">
        <v>162</v>
      </c>
      <c r="F15" s="135">
        <v>12</v>
      </c>
      <c r="G15" s="138">
        <v>72000000</v>
      </c>
    </row>
    <row r="16" spans="1:7" x14ac:dyDescent="0.25">
      <c r="A16" s="118" t="s">
        <v>68</v>
      </c>
      <c r="B16" s="114" t="s">
        <v>155</v>
      </c>
      <c r="C16" s="134">
        <v>830</v>
      </c>
      <c r="D16" s="295" t="s">
        <v>161</v>
      </c>
      <c r="E16" s="295" t="s">
        <v>162</v>
      </c>
      <c r="F16" s="135">
        <v>12</v>
      </c>
      <c r="G16" s="138">
        <v>6000000</v>
      </c>
    </row>
    <row r="17" spans="1:7" ht="63" x14ac:dyDescent="0.25">
      <c r="A17" s="118" t="s">
        <v>68</v>
      </c>
      <c r="B17" s="114" t="s">
        <v>203</v>
      </c>
      <c r="C17" s="134">
        <v>830</v>
      </c>
      <c r="D17" s="296" t="s">
        <v>161</v>
      </c>
      <c r="E17" s="296" t="s">
        <v>162</v>
      </c>
      <c r="F17" s="134">
        <v>12</v>
      </c>
      <c r="G17" s="146">
        <v>90000000</v>
      </c>
    </row>
    <row r="18" spans="1:7" x14ac:dyDescent="0.25">
      <c r="A18" s="118" t="s">
        <v>68</v>
      </c>
      <c r="B18" s="114" t="s">
        <v>233</v>
      </c>
      <c r="C18" s="134">
        <v>830</v>
      </c>
      <c r="D18" s="296" t="s">
        <v>161</v>
      </c>
      <c r="E18" s="296" t="s">
        <v>162</v>
      </c>
      <c r="F18" s="134">
        <v>12</v>
      </c>
      <c r="G18" s="146">
        <v>20000000</v>
      </c>
    </row>
    <row r="19" spans="1:7" s="129" customFormat="1" x14ac:dyDescent="0.25">
      <c r="A19" s="140" t="s">
        <v>24</v>
      </c>
      <c r="B19" s="141" t="s">
        <v>115</v>
      </c>
      <c r="C19" s="140"/>
      <c r="D19" s="140"/>
      <c r="E19" s="140"/>
      <c r="F19" s="140"/>
      <c r="G19" s="142">
        <f>+G20+G21</f>
        <v>804000000</v>
      </c>
    </row>
    <row r="20" spans="1:7" x14ac:dyDescent="0.25">
      <c r="A20" s="133">
        <v>1</v>
      </c>
      <c r="B20" s="143" t="s">
        <v>92</v>
      </c>
      <c r="C20" s="130">
        <v>830</v>
      </c>
      <c r="D20" s="232" t="s">
        <v>161</v>
      </c>
      <c r="E20" s="232" t="s">
        <v>163</v>
      </c>
      <c r="F20" s="133">
        <v>13</v>
      </c>
      <c r="G20" s="136">
        <v>732000000</v>
      </c>
    </row>
    <row r="21" spans="1:7" x14ac:dyDescent="0.25">
      <c r="A21" s="133">
        <v>2</v>
      </c>
      <c r="B21" s="111" t="s">
        <v>143</v>
      </c>
      <c r="C21" s="133"/>
      <c r="D21" s="133"/>
      <c r="E21" s="133"/>
      <c r="F21" s="133"/>
      <c r="G21" s="136">
        <f>+G22</f>
        <v>72000000</v>
      </c>
    </row>
    <row r="22" spans="1:7" s="139" customFormat="1" ht="110.25" x14ac:dyDescent="0.25">
      <c r="A22" s="135" t="s">
        <v>274</v>
      </c>
      <c r="B22" s="114" t="s">
        <v>164</v>
      </c>
      <c r="C22" s="134">
        <v>830</v>
      </c>
      <c r="D22" s="296" t="s">
        <v>161</v>
      </c>
      <c r="E22" s="296" t="s">
        <v>163</v>
      </c>
      <c r="F22" s="134">
        <v>12</v>
      </c>
      <c r="G22" s="146">
        <v>72000000</v>
      </c>
    </row>
    <row r="24" spans="1:7" s="247" customFormat="1" ht="12.75" x14ac:dyDescent="0.2">
      <c r="A24" s="311" t="s">
        <v>225</v>
      </c>
      <c r="B24" s="311"/>
    </row>
    <row r="25" spans="1:7" s="247" customFormat="1" ht="12.75" x14ac:dyDescent="0.2">
      <c r="A25" s="305" t="s">
        <v>226</v>
      </c>
      <c r="B25" s="305"/>
      <c r="C25" s="305"/>
      <c r="D25" s="305"/>
      <c r="E25" s="305"/>
      <c r="F25" s="305"/>
      <c r="G25" s="305"/>
    </row>
    <row r="26" spans="1:7" s="247" customFormat="1" ht="12.75" x14ac:dyDescent="0.2">
      <c r="A26" s="305" t="s">
        <v>230</v>
      </c>
      <c r="B26" s="305"/>
      <c r="C26" s="305"/>
      <c r="D26" s="305"/>
      <c r="E26" s="305"/>
      <c r="F26" s="305"/>
      <c r="G26" s="305"/>
    </row>
    <row r="27" spans="1:7" s="247" customFormat="1" ht="12.75" x14ac:dyDescent="0.2">
      <c r="A27" s="305" t="s">
        <v>231</v>
      </c>
      <c r="B27" s="305"/>
      <c r="C27" s="305"/>
      <c r="D27" s="305"/>
      <c r="E27" s="305"/>
      <c r="F27" s="305"/>
      <c r="G27" s="305"/>
    </row>
    <row r="28" spans="1:7" s="247" customFormat="1" ht="12.75" x14ac:dyDescent="0.2">
      <c r="A28" s="306" t="s">
        <v>232</v>
      </c>
      <c r="B28" s="306"/>
      <c r="C28" s="306"/>
      <c r="D28" s="306"/>
      <c r="E28" s="306"/>
      <c r="F28" s="306"/>
      <c r="G28" s="306"/>
    </row>
  </sheetData>
  <mergeCells count="8">
    <mergeCell ref="A27:G27"/>
    <mergeCell ref="A28:G28"/>
    <mergeCell ref="A1:G1"/>
    <mergeCell ref="A2:G2"/>
    <mergeCell ref="F3:G3"/>
    <mergeCell ref="A24:B24"/>
    <mergeCell ref="A25:G25"/>
    <mergeCell ref="A26:G26"/>
  </mergeCells>
  <pageMargins left="0.48" right="0.2"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N82"/>
  <sheetViews>
    <sheetView topLeftCell="A44" zoomScaleNormal="100" workbookViewId="0">
      <selection activeCell="E45" sqref="E45"/>
    </sheetView>
  </sheetViews>
  <sheetFormatPr defaultRowHeight="15.75" x14ac:dyDescent="0.25"/>
  <cols>
    <col min="1" max="1" width="5.42578125" style="169" customWidth="1"/>
    <col min="2" max="2" width="37.5703125" style="170" customWidth="1"/>
    <col min="3" max="3" width="9.140625" style="170"/>
    <col min="4" max="4" width="8" style="170" customWidth="1"/>
    <col min="5" max="5" width="9.140625" style="170"/>
    <col min="6" max="6" width="8.28515625" style="169" customWidth="1"/>
    <col min="7" max="7" width="19" style="164" customWidth="1"/>
    <col min="8" max="10" width="9.140625" style="170" customWidth="1"/>
    <col min="11" max="11" width="23.28515625" style="170" customWidth="1"/>
    <col min="12" max="12" width="17.7109375" style="170" customWidth="1"/>
    <col min="13" max="13" width="27.5703125" style="170" customWidth="1"/>
    <col min="14" max="14" width="25.42578125" style="170" customWidth="1"/>
    <col min="15" max="21" width="9.140625" style="170" customWidth="1"/>
    <col min="22" max="16384" width="9.140625" style="170"/>
  </cols>
  <sheetData>
    <row r="1" spans="1:14" s="165" customFormat="1" ht="39" customHeight="1" x14ac:dyDescent="0.25">
      <c r="A1" s="313" t="str">
        <f>'Văn phòng HĐND-UBND'!A1:G1</f>
        <v>BIỂU GIAO DỰ TOÁN KINH PHÍ NĂM 2025
 (THỜI GIAN THỰC HIỆN TỪ 01/7/2025 ĐẾN 31/12/2025)</v>
      </c>
      <c r="B1" s="314"/>
      <c r="C1" s="314"/>
      <c r="D1" s="314"/>
      <c r="E1" s="314"/>
      <c r="F1" s="314"/>
      <c r="G1" s="314"/>
    </row>
    <row r="2" spans="1:14" s="165" customFormat="1" ht="24" customHeight="1" x14ac:dyDescent="0.25">
      <c r="A2" s="315" t="str">
        <f>+'Văn phòng HĐND-UBND'!A2:G2</f>
        <v>(Kèm theo Quyết định số 815/QĐ-UBND ngày 05  tháng 11 năm 2025 của UBND xã)</v>
      </c>
      <c r="B2" s="315"/>
      <c r="C2" s="315"/>
      <c r="D2" s="315"/>
      <c r="E2" s="315"/>
      <c r="F2" s="315"/>
      <c r="G2" s="315"/>
    </row>
    <row r="3" spans="1:14" s="168" customFormat="1" ht="24" customHeight="1" x14ac:dyDescent="0.25">
      <c r="A3" s="167" t="s">
        <v>116</v>
      </c>
      <c r="F3" s="316" t="s">
        <v>93</v>
      </c>
      <c r="G3" s="316"/>
    </row>
    <row r="4" spans="1:14" s="168" customFormat="1" ht="34.9" customHeight="1" x14ac:dyDescent="0.25">
      <c r="A4" s="317" t="s">
        <v>2</v>
      </c>
      <c r="B4" s="317" t="s">
        <v>3</v>
      </c>
      <c r="C4" s="317" t="s">
        <v>87</v>
      </c>
      <c r="D4" s="317" t="s">
        <v>88</v>
      </c>
      <c r="E4" s="317" t="s">
        <v>89</v>
      </c>
      <c r="F4" s="317" t="s">
        <v>90</v>
      </c>
      <c r="G4" s="318" t="s">
        <v>159</v>
      </c>
    </row>
    <row r="5" spans="1:14" s="168" customFormat="1" ht="34.9" customHeight="1" x14ac:dyDescent="0.25">
      <c r="A5" s="317"/>
      <c r="B5" s="317"/>
      <c r="C5" s="317"/>
      <c r="D5" s="317"/>
      <c r="E5" s="317"/>
      <c r="F5" s="317"/>
      <c r="G5" s="319"/>
      <c r="K5" s="312"/>
      <c r="L5" s="312"/>
      <c r="M5" s="312"/>
    </row>
    <row r="6" spans="1:14" ht="72.75" customHeight="1" x14ac:dyDescent="0.25">
      <c r="A6" s="317"/>
      <c r="B6" s="317"/>
      <c r="C6" s="317"/>
      <c r="D6" s="317"/>
      <c r="E6" s="317"/>
      <c r="F6" s="317"/>
      <c r="G6" s="320"/>
    </row>
    <row r="7" spans="1:14" ht="21" customHeight="1" x14ac:dyDescent="0.25">
      <c r="A7" s="171"/>
      <c r="B7" s="172" t="s">
        <v>94</v>
      </c>
      <c r="C7" s="171"/>
      <c r="D7" s="171"/>
      <c r="E7" s="171"/>
      <c r="F7" s="171"/>
      <c r="G7" s="158">
        <f>+G8+G33+G63+G64+G65</f>
        <v>26063097486</v>
      </c>
      <c r="K7" s="173"/>
      <c r="L7" s="173"/>
      <c r="M7" s="164"/>
      <c r="N7" s="173"/>
    </row>
    <row r="8" spans="1:14" ht="21" customHeight="1" x14ac:dyDescent="0.25">
      <c r="A8" s="171" t="s">
        <v>25</v>
      </c>
      <c r="B8" s="172" t="s">
        <v>173</v>
      </c>
      <c r="C8" s="171"/>
      <c r="D8" s="171"/>
      <c r="E8" s="171"/>
      <c r="F8" s="171"/>
      <c r="G8" s="158">
        <f>+G9+G15+G27+G31+G25</f>
        <v>12361219976</v>
      </c>
      <c r="K8" s="164"/>
      <c r="M8" s="164"/>
      <c r="N8" s="173"/>
    </row>
    <row r="9" spans="1:14" s="174" customFormat="1" ht="21" customHeight="1" x14ac:dyDescent="0.25">
      <c r="A9" s="171" t="s">
        <v>7</v>
      </c>
      <c r="B9" s="172" t="s">
        <v>99</v>
      </c>
      <c r="C9" s="171"/>
      <c r="D9" s="171"/>
      <c r="E9" s="171"/>
      <c r="F9" s="171"/>
      <c r="G9" s="158">
        <f>+G10+G11</f>
        <v>2326000000</v>
      </c>
      <c r="K9" s="176"/>
      <c r="L9" s="176"/>
      <c r="M9" s="175"/>
    </row>
    <row r="10" spans="1:14" ht="30" customHeight="1" x14ac:dyDescent="0.25">
      <c r="A10" s="177">
        <v>1</v>
      </c>
      <c r="B10" s="178" t="s">
        <v>95</v>
      </c>
      <c r="C10" s="177">
        <v>831</v>
      </c>
      <c r="D10" s="177">
        <v>340</v>
      </c>
      <c r="E10" s="177">
        <v>341</v>
      </c>
      <c r="F10" s="177">
        <v>13</v>
      </c>
      <c r="G10" s="159">
        <v>1921000000</v>
      </c>
      <c r="M10" s="164"/>
    </row>
    <row r="11" spans="1:14" x14ac:dyDescent="0.25">
      <c r="A11" s="179">
        <v>2</v>
      </c>
      <c r="B11" s="178" t="s">
        <v>96</v>
      </c>
      <c r="C11" s="180"/>
      <c r="D11" s="180"/>
      <c r="E11" s="180"/>
      <c r="F11" s="179"/>
      <c r="G11" s="160">
        <f>SUM(G12:G14)</f>
        <v>405000000</v>
      </c>
    </row>
    <row r="12" spans="1:14" s="184" customFormat="1" x14ac:dyDescent="0.25">
      <c r="A12" s="181" t="s">
        <v>68</v>
      </c>
      <c r="B12" s="182" t="s">
        <v>127</v>
      </c>
      <c r="C12" s="183">
        <v>831</v>
      </c>
      <c r="D12" s="183">
        <v>340</v>
      </c>
      <c r="E12" s="183">
        <v>341</v>
      </c>
      <c r="F12" s="183">
        <v>12</v>
      </c>
      <c r="G12" s="161">
        <v>5000000</v>
      </c>
    </row>
    <row r="13" spans="1:14" s="184" customFormat="1" ht="31.5" x14ac:dyDescent="0.25">
      <c r="A13" s="181" t="s">
        <v>68</v>
      </c>
      <c r="B13" s="137" t="s">
        <v>126</v>
      </c>
      <c r="C13" s="183">
        <v>831</v>
      </c>
      <c r="D13" s="183">
        <v>340</v>
      </c>
      <c r="E13" s="183">
        <v>341</v>
      </c>
      <c r="F13" s="183">
        <v>12</v>
      </c>
      <c r="G13" s="161">
        <v>200000000</v>
      </c>
    </row>
    <row r="14" spans="1:14" s="184" customFormat="1" ht="31.5" x14ac:dyDescent="0.25">
      <c r="A14" s="181" t="s">
        <v>68</v>
      </c>
      <c r="B14" s="182" t="s">
        <v>160</v>
      </c>
      <c r="C14" s="183">
        <v>831</v>
      </c>
      <c r="D14" s="183">
        <v>340</v>
      </c>
      <c r="E14" s="183">
        <v>341</v>
      </c>
      <c r="F14" s="183">
        <v>18</v>
      </c>
      <c r="G14" s="161">
        <v>200000000</v>
      </c>
    </row>
    <row r="15" spans="1:14" s="174" customFormat="1" x14ac:dyDescent="0.25">
      <c r="A15" s="185" t="s">
        <v>4</v>
      </c>
      <c r="B15" s="186" t="s">
        <v>55</v>
      </c>
      <c r="C15" s="186"/>
      <c r="D15" s="186"/>
      <c r="E15" s="186"/>
      <c r="F15" s="185"/>
      <c r="G15" s="162">
        <f>SUM(G16:G24)</f>
        <v>7023271576</v>
      </c>
      <c r="L15" s="175"/>
    </row>
    <row r="16" spans="1:14" s="165" customFormat="1" x14ac:dyDescent="0.25">
      <c r="A16" s="177">
        <v>1</v>
      </c>
      <c r="B16" s="187" t="s">
        <v>264</v>
      </c>
      <c r="C16" s="177">
        <v>831</v>
      </c>
      <c r="D16" s="177">
        <v>280</v>
      </c>
      <c r="E16" s="188">
        <v>281</v>
      </c>
      <c r="F16" s="177">
        <v>12</v>
      </c>
      <c r="G16" s="154">
        <v>450000000</v>
      </c>
      <c r="K16" s="248"/>
    </row>
    <row r="17" spans="1:12" s="165" customFormat="1" ht="31.5" x14ac:dyDescent="0.25">
      <c r="A17" s="177">
        <v>2</v>
      </c>
      <c r="B17" s="187" t="s">
        <v>132</v>
      </c>
      <c r="C17" s="177">
        <v>831</v>
      </c>
      <c r="D17" s="177">
        <v>280</v>
      </c>
      <c r="E17" s="188">
        <v>283</v>
      </c>
      <c r="F17" s="177">
        <v>12</v>
      </c>
      <c r="G17" s="154">
        <v>258000000</v>
      </c>
      <c r="K17" s="248"/>
    </row>
    <row r="18" spans="1:12" s="165" customFormat="1" ht="31.5" x14ac:dyDescent="0.25">
      <c r="A18" s="177">
        <v>3</v>
      </c>
      <c r="B18" s="187" t="s">
        <v>261</v>
      </c>
      <c r="C18" s="177">
        <v>831</v>
      </c>
      <c r="D18" s="177">
        <v>280</v>
      </c>
      <c r="E18" s="188">
        <v>292</v>
      </c>
      <c r="F18" s="177">
        <v>12</v>
      </c>
      <c r="G18" s="154">
        <v>2800000000</v>
      </c>
      <c r="K18" s="248"/>
    </row>
    <row r="19" spans="1:12" s="165" customFormat="1" ht="47.25" x14ac:dyDescent="0.25">
      <c r="A19" s="177">
        <v>4</v>
      </c>
      <c r="B19" s="187" t="s">
        <v>262</v>
      </c>
      <c r="C19" s="177">
        <v>831</v>
      </c>
      <c r="D19" s="177">
        <v>280</v>
      </c>
      <c r="E19" s="188">
        <v>292</v>
      </c>
      <c r="F19" s="177">
        <v>12</v>
      </c>
      <c r="G19" s="154">
        <v>725000000</v>
      </c>
      <c r="K19" s="248"/>
    </row>
    <row r="20" spans="1:12" s="165" customFormat="1" ht="47.25" x14ac:dyDescent="0.25">
      <c r="A20" s="177">
        <v>5</v>
      </c>
      <c r="B20" s="187" t="s">
        <v>236</v>
      </c>
      <c r="C20" s="177">
        <v>831</v>
      </c>
      <c r="D20" s="177">
        <v>280</v>
      </c>
      <c r="E20" s="188">
        <v>312</v>
      </c>
      <c r="F20" s="177">
        <v>12</v>
      </c>
      <c r="G20" s="154">
        <v>1389179000</v>
      </c>
      <c r="K20" s="248"/>
    </row>
    <row r="21" spans="1:12" s="165" customFormat="1" x14ac:dyDescent="0.25">
      <c r="A21" s="177">
        <v>6</v>
      </c>
      <c r="B21" s="187" t="s">
        <v>237</v>
      </c>
      <c r="C21" s="177">
        <v>831</v>
      </c>
      <c r="D21" s="177">
        <v>280</v>
      </c>
      <c r="E21" s="188">
        <v>332</v>
      </c>
      <c r="F21" s="177">
        <v>12</v>
      </c>
      <c r="G21" s="154">
        <v>50000000</v>
      </c>
      <c r="K21" s="248"/>
    </row>
    <row r="22" spans="1:12" s="165" customFormat="1" ht="47.25" x14ac:dyDescent="0.25">
      <c r="A22" s="177">
        <v>7</v>
      </c>
      <c r="B22" s="187" t="s">
        <v>241</v>
      </c>
      <c r="C22" s="177">
        <v>831</v>
      </c>
      <c r="D22" s="177">
        <v>280</v>
      </c>
      <c r="E22" s="188">
        <v>338</v>
      </c>
      <c r="F22" s="177">
        <v>12</v>
      </c>
      <c r="G22" s="154">
        <v>509092576</v>
      </c>
      <c r="K22" s="248"/>
    </row>
    <row r="23" spans="1:12" s="165" customFormat="1" ht="31.5" x14ac:dyDescent="0.25">
      <c r="A23" s="177">
        <v>8</v>
      </c>
      <c r="B23" s="187" t="s">
        <v>234</v>
      </c>
      <c r="C23" s="177">
        <v>831</v>
      </c>
      <c r="D23" s="177">
        <v>280</v>
      </c>
      <c r="E23" s="188">
        <v>338</v>
      </c>
      <c r="F23" s="177">
        <v>12</v>
      </c>
      <c r="G23" s="154">
        <v>300000000</v>
      </c>
      <c r="K23" s="248"/>
    </row>
    <row r="24" spans="1:12" s="165" customFormat="1" x14ac:dyDescent="0.25">
      <c r="A24" s="177">
        <v>9</v>
      </c>
      <c r="B24" s="187" t="s">
        <v>265</v>
      </c>
      <c r="C24" s="177">
        <v>831</v>
      </c>
      <c r="D24" s="177">
        <v>280</v>
      </c>
      <c r="E24" s="188">
        <v>338</v>
      </c>
      <c r="F24" s="177">
        <v>12</v>
      </c>
      <c r="G24" s="154">
        <v>542000000</v>
      </c>
      <c r="K24" s="248"/>
    </row>
    <row r="25" spans="1:12" s="174" customFormat="1" x14ac:dyDescent="0.25">
      <c r="A25" s="185" t="s">
        <v>16</v>
      </c>
      <c r="B25" s="191" t="s">
        <v>266</v>
      </c>
      <c r="C25" s="171"/>
      <c r="D25" s="186"/>
      <c r="E25" s="186"/>
      <c r="F25" s="185"/>
      <c r="G25" s="162">
        <f>G26</f>
        <v>476000000</v>
      </c>
    </row>
    <row r="26" spans="1:12" s="165" customFormat="1" ht="31.5" x14ac:dyDescent="0.25">
      <c r="A26" s="177">
        <v>1</v>
      </c>
      <c r="B26" s="187" t="s">
        <v>263</v>
      </c>
      <c r="C26" s="177">
        <v>831</v>
      </c>
      <c r="D26" s="271">
        <v>70</v>
      </c>
      <c r="E26" s="272">
        <v>72</v>
      </c>
      <c r="F26" s="177">
        <v>12</v>
      </c>
      <c r="G26" s="154">
        <v>476000000</v>
      </c>
      <c r="K26" s="248"/>
    </row>
    <row r="27" spans="1:12" s="174" customFormat="1" x14ac:dyDescent="0.25">
      <c r="A27" s="185" t="s">
        <v>16</v>
      </c>
      <c r="B27" s="186" t="s">
        <v>139</v>
      </c>
      <c r="C27" s="189"/>
      <c r="D27" s="189"/>
      <c r="E27" s="186"/>
      <c r="F27" s="185"/>
      <c r="G27" s="162">
        <f>SUM(G28:G30)</f>
        <v>661017000</v>
      </c>
      <c r="L27" s="175"/>
    </row>
    <row r="28" spans="1:12" s="165" customFormat="1" ht="31.5" x14ac:dyDescent="0.25">
      <c r="A28" s="177">
        <v>1</v>
      </c>
      <c r="B28" s="187" t="s">
        <v>238</v>
      </c>
      <c r="C28" s="177">
        <v>831</v>
      </c>
      <c r="D28" s="177">
        <v>160</v>
      </c>
      <c r="E28" s="188">
        <v>161</v>
      </c>
      <c r="F28" s="177">
        <v>12</v>
      </c>
      <c r="G28" s="154">
        <v>460000000</v>
      </c>
      <c r="K28" s="248"/>
    </row>
    <row r="29" spans="1:12" s="165" customFormat="1" ht="31.5" x14ac:dyDescent="0.25">
      <c r="A29" s="177">
        <v>2</v>
      </c>
      <c r="B29" s="187" t="s">
        <v>239</v>
      </c>
      <c r="C29" s="177">
        <v>831</v>
      </c>
      <c r="D29" s="177">
        <v>160</v>
      </c>
      <c r="E29" s="188">
        <v>161</v>
      </c>
      <c r="F29" s="177">
        <v>12</v>
      </c>
      <c r="G29" s="154">
        <v>78516000</v>
      </c>
      <c r="K29" s="248"/>
    </row>
    <row r="30" spans="1:12" s="165" customFormat="1" ht="31.5" x14ac:dyDescent="0.25">
      <c r="A30" s="177">
        <v>3</v>
      </c>
      <c r="B30" s="187" t="s">
        <v>240</v>
      </c>
      <c r="C30" s="177">
        <v>831</v>
      </c>
      <c r="D30" s="177">
        <v>160</v>
      </c>
      <c r="E30" s="188">
        <v>161</v>
      </c>
      <c r="F30" s="177">
        <v>12</v>
      </c>
      <c r="G30" s="154">
        <v>122501000</v>
      </c>
      <c r="K30" s="248"/>
    </row>
    <row r="31" spans="1:12" s="174" customFormat="1" x14ac:dyDescent="0.25">
      <c r="A31" s="185" t="s">
        <v>19</v>
      </c>
      <c r="B31" s="191" t="s">
        <v>153</v>
      </c>
      <c r="C31" s="171"/>
      <c r="D31" s="186"/>
      <c r="E31" s="186"/>
      <c r="F31" s="185"/>
      <c r="G31" s="162">
        <f>+G32</f>
        <v>1874931400</v>
      </c>
    </row>
    <row r="32" spans="1:12" x14ac:dyDescent="0.25">
      <c r="A32" s="179"/>
      <c r="B32" s="187" t="s">
        <v>165</v>
      </c>
      <c r="C32" s="177">
        <v>831</v>
      </c>
      <c r="D32" s="179">
        <v>270</v>
      </c>
      <c r="E32" s="180">
        <v>261</v>
      </c>
      <c r="F32" s="177">
        <v>12</v>
      </c>
      <c r="G32" s="160">
        <v>1874931400</v>
      </c>
      <c r="K32" s="173"/>
    </row>
    <row r="33" spans="1:13" s="174" customFormat="1" x14ac:dyDescent="0.25">
      <c r="A33" s="185" t="s">
        <v>26</v>
      </c>
      <c r="B33" s="186" t="s">
        <v>133</v>
      </c>
      <c r="C33" s="186"/>
      <c r="D33" s="186"/>
      <c r="E33" s="186"/>
      <c r="F33" s="185"/>
      <c r="G33" s="162">
        <f>+G34+G49</f>
        <v>12857817510</v>
      </c>
    </row>
    <row r="34" spans="1:13" s="168" customFormat="1" ht="67.900000000000006" customHeight="1" x14ac:dyDescent="0.25">
      <c r="A34" s="171" t="s">
        <v>7</v>
      </c>
      <c r="B34" s="249" t="s">
        <v>134</v>
      </c>
      <c r="C34" s="191"/>
      <c r="D34" s="191"/>
      <c r="E34" s="191"/>
      <c r="F34" s="171"/>
      <c r="G34" s="163">
        <f>+G35+G38</f>
        <v>8269217700</v>
      </c>
      <c r="K34" s="250"/>
      <c r="M34" s="250"/>
    </row>
    <row r="35" spans="1:13" s="168" customFormat="1" ht="57" x14ac:dyDescent="0.25">
      <c r="A35" s="171">
        <v>1</v>
      </c>
      <c r="B35" s="192" t="s">
        <v>166</v>
      </c>
      <c r="C35" s="191"/>
      <c r="D35" s="191"/>
      <c r="E35" s="191"/>
      <c r="F35" s="171"/>
      <c r="G35" s="163">
        <f>+G36</f>
        <v>2085398700</v>
      </c>
    </row>
    <row r="36" spans="1:13" s="168" customFormat="1" ht="75" x14ac:dyDescent="0.25">
      <c r="A36" s="177" t="s">
        <v>169</v>
      </c>
      <c r="B36" s="193" t="s">
        <v>167</v>
      </c>
      <c r="C36" s="191"/>
      <c r="D36" s="191"/>
      <c r="E36" s="191"/>
      <c r="F36" s="171"/>
      <c r="G36" s="154">
        <f>+G37</f>
        <v>2085398700</v>
      </c>
    </row>
    <row r="37" spans="1:13" s="168" customFormat="1" x14ac:dyDescent="0.25">
      <c r="A37" s="171" t="s">
        <v>68</v>
      </c>
      <c r="B37" s="195" t="s">
        <v>171</v>
      </c>
      <c r="C37" s="183">
        <v>831</v>
      </c>
      <c r="D37" s="188">
        <v>280</v>
      </c>
      <c r="E37" s="188">
        <v>281</v>
      </c>
      <c r="F37" s="177">
        <v>12</v>
      </c>
      <c r="G37" s="154">
        <v>2085398700</v>
      </c>
      <c r="K37" s="250"/>
    </row>
    <row r="38" spans="1:13" s="165" customFormat="1" ht="57" x14ac:dyDescent="0.25">
      <c r="A38" s="171">
        <v>2</v>
      </c>
      <c r="B38" s="192" t="s">
        <v>135</v>
      </c>
      <c r="C38" s="188"/>
      <c r="D38" s="188"/>
      <c r="E38" s="188"/>
      <c r="F38" s="177"/>
      <c r="G38" s="163">
        <f>+G39</f>
        <v>6183819000</v>
      </c>
    </row>
    <row r="39" spans="1:13" s="165" customFormat="1" ht="45" x14ac:dyDescent="0.25">
      <c r="A39" s="177" t="s">
        <v>169</v>
      </c>
      <c r="B39" s="193" t="s">
        <v>170</v>
      </c>
      <c r="C39" s="188"/>
      <c r="D39" s="188"/>
      <c r="E39" s="188"/>
      <c r="F39" s="177"/>
      <c r="G39" s="154">
        <f>+G40+G47</f>
        <v>6183819000</v>
      </c>
    </row>
    <row r="40" spans="1:13" s="165" customFormat="1" x14ac:dyDescent="0.25">
      <c r="A40" s="177" t="s">
        <v>68</v>
      </c>
      <c r="B40" s="195" t="s">
        <v>172</v>
      </c>
      <c r="C40" s="188"/>
      <c r="D40" s="188"/>
      <c r="E40" s="188"/>
      <c r="F40" s="177"/>
      <c r="G40" s="154">
        <f>SUM(G41:G46)</f>
        <v>4869327000</v>
      </c>
      <c r="K40" s="248"/>
    </row>
    <row r="41" spans="1:13" s="252" customFormat="1" ht="30" x14ac:dyDescent="0.25">
      <c r="A41" s="183" t="s">
        <v>138</v>
      </c>
      <c r="B41" s="194" t="s">
        <v>248</v>
      </c>
      <c r="C41" s="183">
        <v>831</v>
      </c>
      <c r="D41" s="251">
        <v>280</v>
      </c>
      <c r="E41" s="251">
        <v>283</v>
      </c>
      <c r="F41" s="183">
        <v>12</v>
      </c>
      <c r="G41" s="94">
        <v>233323000</v>
      </c>
    </row>
    <row r="42" spans="1:13" s="252" customFormat="1" ht="30" x14ac:dyDescent="0.25">
      <c r="A42" s="183" t="s">
        <v>138</v>
      </c>
      <c r="B42" s="194" t="s">
        <v>245</v>
      </c>
      <c r="C42" s="183">
        <v>831</v>
      </c>
      <c r="D42" s="251">
        <v>280</v>
      </c>
      <c r="E42" s="251">
        <v>283</v>
      </c>
      <c r="F42" s="183">
        <v>12</v>
      </c>
      <c r="G42" s="94">
        <v>986226000</v>
      </c>
    </row>
    <row r="43" spans="1:13" s="252" customFormat="1" ht="30" x14ac:dyDescent="0.25">
      <c r="A43" s="183" t="s">
        <v>138</v>
      </c>
      <c r="B43" s="194" t="s">
        <v>243</v>
      </c>
      <c r="C43" s="183">
        <v>831</v>
      </c>
      <c r="D43" s="251">
        <v>280</v>
      </c>
      <c r="E43" s="251">
        <v>292</v>
      </c>
      <c r="F43" s="183">
        <v>12</v>
      </c>
      <c r="G43" s="94">
        <v>668475000</v>
      </c>
    </row>
    <row r="44" spans="1:13" s="252" customFormat="1" ht="30" x14ac:dyDescent="0.25">
      <c r="A44" s="183" t="s">
        <v>138</v>
      </c>
      <c r="B44" s="194" t="s">
        <v>244</v>
      </c>
      <c r="C44" s="183">
        <v>831</v>
      </c>
      <c r="D44" s="251">
        <v>280</v>
      </c>
      <c r="E44" s="251">
        <v>292</v>
      </c>
      <c r="F44" s="183">
        <v>12</v>
      </c>
      <c r="G44" s="94">
        <v>804017000</v>
      </c>
    </row>
    <row r="45" spans="1:13" s="252" customFormat="1" ht="30" x14ac:dyDescent="0.25">
      <c r="A45" s="183" t="s">
        <v>138</v>
      </c>
      <c r="B45" s="194" t="s">
        <v>247</v>
      </c>
      <c r="C45" s="183">
        <v>831</v>
      </c>
      <c r="D45" s="251">
        <v>280</v>
      </c>
      <c r="E45" s="251">
        <v>292</v>
      </c>
      <c r="F45" s="183">
        <v>12</v>
      </c>
      <c r="G45" s="94">
        <v>1601758000</v>
      </c>
    </row>
    <row r="46" spans="1:13" s="252" customFormat="1" ht="30" x14ac:dyDescent="0.25">
      <c r="A46" s="183" t="s">
        <v>138</v>
      </c>
      <c r="B46" s="194" t="s">
        <v>246</v>
      </c>
      <c r="C46" s="183">
        <v>831</v>
      </c>
      <c r="D46" s="251">
        <v>280</v>
      </c>
      <c r="E46" s="251">
        <v>311</v>
      </c>
      <c r="F46" s="183">
        <v>12</v>
      </c>
      <c r="G46" s="94">
        <v>575528000</v>
      </c>
    </row>
    <row r="47" spans="1:13" s="165" customFormat="1" x14ac:dyDescent="0.25">
      <c r="A47" s="177" t="s">
        <v>68</v>
      </c>
      <c r="B47" s="188" t="s">
        <v>136</v>
      </c>
      <c r="C47" s="188"/>
      <c r="D47" s="188"/>
      <c r="E47" s="188"/>
      <c r="F47" s="177"/>
      <c r="G47" s="154">
        <f>+G48</f>
        <v>1314492000</v>
      </c>
    </row>
    <row r="48" spans="1:13" s="252" customFormat="1" ht="31.5" x14ac:dyDescent="0.25">
      <c r="A48" s="183" t="s">
        <v>242</v>
      </c>
      <c r="B48" s="246" t="s">
        <v>235</v>
      </c>
      <c r="C48" s="183">
        <v>831</v>
      </c>
      <c r="D48" s="183">
        <v>280</v>
      </c>
      <c r="E48" s="251">
        <v>292</v>
      </c>
      <c r="F48" s="183">
        <v>12</v>
      </c>
      <c r="G48" s="94">
        <v>1314492000</v>
      </c>
      <c r="K48" s="254"/>
    </row>
    <row r="49" spans="1:11" s="165" customFormat="1" ht="42.75" x14ac:dyDescent="0.25">
      <c r="A49" s="171" t="s">
        <v>4</v>
      </c>
      <c r="B49" s="192" t="s">
        <v>180</v>
      </c>
      <c r="C49" s="188"/>
      <c r="D49" s="188"/>
      <c r="E49" s="188"/>
      <c r="F49" s="177"/>
      <c r="G49" s="163">
        <f>+G50+G55+G57+G60</f>
        <v>4588599810</v>
      </c>
      <c r="K49" s="248"/>
    </row>
    <row r="50" spans="1:11" s="165" customFormat="1" ht="28.5" x14ac:dyDescent="0.25">
      <c r="A50" s="171">
        <v>1</v>
      </c>
      <c r="B50" s="192" t="s">
        <v>179</v>
      </c>
      <c r="C50" s="188"/>
      <c r="D50" s="188"/>
      <c r="E50" s="188"/>
      <c r="F50" s="177"/>
      <c r="G50" s="163">
        <f>+G51</f>
        <v>574019000</v>
      </c>
    </row>
    <row r="51" spans="1:11" s="165" customFormat="1" ht="45" x14ac:dyDescent="0.25">
      <c r="A51" s="177" t="s">
        <v>137</v>
      </c>
      <c r="B51" s="193" t="s">
        <v>193</v>
      </c>
      <c r="C51" s="188"/>
      <c r="D51" s="188"/>
      <c r="E51" s="188"/>
      <c r="F51" s="177"/>
      <c r="G51" s="154">
        <f>+G52</f>
        <v>574019000</v>
      </c>
    </row>
    <row r="52" spans="1:11" s="165" customFormat="1" x14ac:dyDescent="0.25">
      <c r="A52" s="177" t="s">
        <v>68</v>
      </c>
      <c r="B52" s="195" t="s">
        <v>181</v>
      </c>
      <c r="C52" s="188"/>
      <c r="D52" s="188"/>
      <c r="E52" s="188"/>
      <c r="F52" s="177"/>
      <c r="G52" s="154">
        <f>+G53+G54</f>
        <v>574019000</v>
      </c>
      <c r="K52" s="248"/>
    </row>
    <row r="53" spans="1:11" s="291" customFormat="1" ht="45" x14ac:dyDescent="0.25">
      <c r="A53" s="287" t="s">
        <v>138</v>
      </c>
      <c r="B53" s="288" t="s">
        <v>249</v>
      </c>
      <c r="C53" s="287">
        <v>831</v>
      </c>
      <c r="D53" s="289">
        <v>280</v>
      </c>
      <c r="E53" s="289">
        <v>292</v>
      </c>
      <c r="F53" s="183">
        <v>12</v>
      </c>
      <c r="G53" s="290">
        <v>350000000</v>
      </c>
    </row>
    <row r="54" spans="1:11" s="291" customFormat="1" ht="45" x14ac:dyDescent="0.25">
      <c r="A54" s="287" t="s">
        <v>138</v>
      </c>
      <c r="B54" s="288" t="s">
        <v>250</v>
      </c>
      <c r="C54" s="287">
        <v>831</v>
      </c>
      <c r="D54" s="289">
        <v>280</v>
      </c>
      <c r="E54" s="289">
        <v>292</v>
      </c>
      <c r="F54" s="183">
        <v>12</v>
      </c>
      <c r="G54" s="290">
        <v>224019000</v>
      </c>
      <c r="K54" s="292"/>
    </row>
    <row r="55" spans="1:11" s="165" customFormat="1" ht="42.75" x14ac:dyDescent="0.25">
      <c r="A55" s="171">
        <v>2</v>
      </c>
      <c r="B55" s="192" t="s">
        <v>182</v>
      </c>
      <c r="C55" s="188"/>
      <c r="D55" s="188"/>
      <c r="E55" s="188"/>
      <c r="F55" s="177"/>
      <c r="G55" s="163">
        <f>+G56</f>
        <v>2031716010</v>
      </c>
    </row>
    <row r="56" spans="1:11" s="165" customFormat="1" x14ac:dyDescent="0.25">
      <c r="A56" s="177"/>
      <c r="B56" s="195" t="s">
        <v>183</v>
      </c>
      <c r="C56" s="183">
        <v>831</v>
      </c>
      <c r="D56" s="251">
        <v>280</v>
      </c>
      <c r="E56" s="251">
        <v>281</v>
      </c>
      <c r="F56" s="183">
        <v>12</v>
      </c>
      <c r="G56" s="156">
        <v>2031716010</v>
      </c>
      <c r="K56" s="248"/>
    </row>
    <row r="57" spans="1:11" s="165" customFormat="1" ht="28.5" x14ac:dyDescent="0.25">
      <c r="A57" s="171">
        <v>3</v>
      </c>
      <c r="B57" s="192" t="s">
        <v>184</v>
      </c>
      <c r="C57" s="188"/>
      <c r="D57" s="188"/>
      <c r="E57" s="188"/>
      <c r="F57" s="177"/>
      <c r="G57" s="163">
        <f>+G58</f>
        <v>792864800</v>
      </c>
    </row>
    <row r="58" spans="1:11" s="165" customFormat="1" ht="45" x14ac:dyDescent="0.25">
      <c r="A58" s="177" t="s">
        <v>168</v>
      </c>
      <c r="B58" s="193" t="s">
        <v>185</v>
      </c>
      <c r="C58" s="188"/>
      <c r="D58" s="188"/>
      <c r="E58" s="188"/>
      <c r="F58" s="177"/>
      <c r="G58" s="154">
        <f>+G59</f>
        <v>792864800</v>
      </c>
    </row>
    <row r="59" spans="1:11" s="165" customFormat="1" x14ac:dyDescent="0.25">
      <c r="A59" s="177"/>
      <c r="B59" s="195" t="s">
        <v>186</v>
      </c>
      <c r="C59" s="183">
        <v>831</v>
      </c>
      <c r="D59" s="251">
        <v>280</v>
      </c>
      <c r="E59" s="251">
        <v>281</v>
      </c>
      <c r="F59" s="183">
        <v>12</v>
      </c>
      <c r="G59" s="156">
        <v>792864800</v>
      </c>
      <c r="K59" s="248"/>
    </row>
    <row r="60" spans="1:11" s="165" customFormat="1" ht="58.5" customHeight="1" x14ac:dyDescent="0.25">
      <c r="A60" s="171">
        <v>4</v>
      </c>
      <c r="B60" s="192" t="s">
        <v>187</v>
      </c>
      <c r="C60" s="188"/>
      <c r="D60" s="188"/>
      <c r="E60" s="188"/>
      <c r="F60" s="177"/>
      <c r="G60" s="163">
        <f>+G61+G62</f>
        <v>1190000000</v>
      </c>
    </row>
    <row r="61" spans="1:11" s="165" customFormat="1" x14ac:dyDescent="0.25">
      <c r="A61" s="177"/>
      <c r="B61" s="195" t="s">
        <v>188</v>
      </c>
      <c r="C61" s="183">
        <v>831</v>
      </c>
      <c r="D61" s="251">
        <v>280</v>
      </c>
      <c r="E61" s="251">
        <v>338</v>
      </c>
      <c r="F61" s="183">
        <v>12</v>
      </c>
      <c r="G61" s="156">
        <v>940000000</v>
      </c>
      <c r="K61" s="248"/>
    </row>
    <row r="62" spans="1:11" s="165" customFormat="1" ht="34.5" customHeight="1" x14ac:dyDescent="0.25">
      <c r="A62" s="177"/>
      <c r="B62" s="195" t="s">
        <v>189</v>
      </c>
      <c r="C62" s="183">
        <v>831</v>
      </c>
      <c r="D62" s="251">
        <v>280</v>
      </c>
      <c r="E62" s="251">
        <v>338</v>
      </c>
      <c r="F62" s="183">
        <v>12</v>
      </c>
      <c r="G62" s="154">
        <v>250000000</v>
      </c>
      <c r="K62" s="248"/>
    </row>
    <row r="63" spans="1:11" s="168" customFormat="1" ht="47.25" x14ac:dyDescent="0.25">
      <c r="A63" s="171" t="s">
        <v>31</v>
      </c>
      <c r="B63" s="249" t="s">
        <v>251</v>
      </c>
      <c r="C63" s="171">
        <v>831</v>
      </c>
      <c r="D63" s="191">
        <v>280</v>
      </c>
      <c r="E63" s="191">
        <v>338</v>
      </c>
      <c r="F63" s="171">
        <v>12</v>
      </c>
      <c r="G63" s="163">
        <v>55000000</v>
      </c>
    </row>
    <row r="64" spans="1:11" s="168" customFormat="1" ht="47.25" x14ac:dyDescent="0.25">
      <c r="A64" s="171" t="s">
        <v>158</v>
      </c>
      <c r="B64" s="249" t="s">
        <v>252</v>
      </c>
      <c r="C64" s="171">
        <v>831</v>
      </c>
      <c r="D64" s="191">
        <v>280</v>
      </c>
      <c r="E64" s="191">
        <v>338</v>
      </c>
      <c r="F64" s="171">
        <v>12</v>
      </c>
      <c r="G64" s="163">
        <v>39060000</v>
      </c>
    </row>
    <row r="65" spans="1:7" s="168" customFormat="1" ht="31.5" x14ac:dyDescent="0.25">
      <c r="A65" s="171" t="s">
        <v>223</v>
      </c>
      <c r="B65" s="249" t="s">
        <v>192</v>
      </c>
      <c r="C65" s="171">
        <v>831</v>
      </c>
      <c r="D65" s="191">
        <v>280</v>
      </c>
      <c r="E65" s="191">
        <v>338</v>
      </c>
      <c r="F65" s="171">
        <v>12</v>
      </c>
      <c r="G65" s="163">
        <v>750000000</v>
      </c>
    </row>
    <row r="66" spans="1:7" s="165" customFormat="1" x14ac:dyDescent="0.25">
      <c r="A66" s="253"/>
      <c r="F66" s="253"/>
      <c r="G66" s="166"/>
    </row>
    <row r="67" spans="1:7" s="247" customFormat="1" ht="12.75" x14ac:dyDescent="0.2">
      <c r="A67" s="311" t="s">
        <v>225</v>
      </c>
      <c r="B67" s="311"/>
    </row>
    <row r="68" spans="1:7" s="247" customFormat="1" ht="12.75" x14ac:dyDescent="0.2">
      <c r="A68" s="305" t="s">
        <v>226</v>
      </c>
      <c r="B68" s="305"/>
      <c r="C68" s="305"/>
      <c r="D68" s="305"/>
      <c r="E68" s="305"/>
      <c r="F68" s="305"/>
      <c r="G68" s="305"/>
    </row>
    <row r="69" spans="1:7" s="247" customFormat="1" ht="12.75" x14ac:dyDescent="0.2">
      <c r="A69" s="305" t="s">
        <v>230</v>
      </c>
      <c r="B69" s="305"/>
      <c r="C69" s="305"/>
      <c r="D69" s="305"/>
      <c r="E69" s="305"/>
      <c r="F69" s="305"/>
      <c r="G69" s="305"/>
    </row>
    <row r="70" spans="1:7" s="247" customFormat="1" ht="12.75" x14ac:dyDescent="0.2">
      <c r="A70" s="306" t="s">
        <v>253</v>
      </c>
      <c r="B70" s="306"/>
      <c r="C70" s="306"/>
      <c r="D70" s="306"/>
      <c r="E70" s="306"/>
      <c r="F70" s="306"/>
      <c r="G70" s="306"/>
    </row>
    <row r="71" spans="1:7" s="165" customFormat="1" x14ac:dyDescent="0.25">
      <c r="A71" s="253"/>
      <c r="F71" s="253"/>
      <c r="G71" s="166"/>
    </row>
    <row r="72" spans="1:7" s="165" customFormat="1" x14ac:dyDescent="0.25">
      <c r="A72" s="253"/>
      <c r="F72" s="253"/>
      <c r="G72" s="166"/>
    </row>
    <row r="73" spans="1:7" s="165" customFormat="1" x14ac:dyDescent="0.25">
      <c r="A73" s="253"/>
      <c r="F73" s="253"/>
      <c r="G73" s="166"/>
    </row>
    <row r="74" spans="1:7" s="165" customFormat="1" x14ac:dyDescent="0.25">
      <c r="A74" s="253"/>
      <c r="F74" s="253"/>
      <c r="G74" s="166"/>
    </row>
    <row r="75" spans="1:7" s="165" customFormat="1" x14ac:dyDescent="0.25">
      <c r="A75" s="253"/>
      <c r="F75" s="253"/>
      <c r="G75" s="166"/>
    </row>
    <row r="76" spans="1:7" s="165" customFormat="1" x14ac:dyDescent="0.25">
      <c r="A76" s="253"/>
      <c r="F76" s="253"/>
      <c r="G76" s="166"/>
    </row>
    <row r="77" spans="1:7" s="165" customFormat="1" x14ac:dyDescent="0.25">
      <c r="A77" s="253"/>
      <c r="F77" s="253"/>
      <c r="G77" s="166"/>
    </row>
    <row r="78" spans="1:7" s="165" customFormat="1" x14ac:dyDescent="0.25">
      <c r="A78" s="253"/>
      <c r="F78" s="253"/>
      <c r="G78" s="166"/>
    </row>
    <row r="79" spans="1:7" s="165" customFormat="1" x14ac:dyDescent="0.25">
      <c r="A79" s="253"/>
      <c r="F79" s="253"/>
      <c r="G79" s="166"/>
    </row>
    <row r="80" spans="1:7" s="165" customFormat="1" x14ac:dyDescent="0.25">
      <c r="A80" s="253"/>
      <c r="F80" s="253"/>
      <c r="G80" s="166"/>
    </row>
    <row r="81" spans="1:7" s="165" customFormat="1" x14ac:dyDescent="0.25">
      <c r="A81" s="253"/>
      <c r="F81" s="253"/>
      <c r="G81" s="166"/>
    </row>
    <row r="82" spans="1:7" s="165" customFormat="1" x14ac:dyDescent="0.25">
      <c r="A82" s="253"/>
      <c r="F82" s="253"/>
      <c r="G82" s="166"/>
    </row>
  </sheetData>
  <mergeCells count="15">
    <mergeCell ref="A67:B67"/>
    <mergeCell ref="A68:G68"/>
    <mergeCell ref="A69:G69"/>
    <mergeCell ref="A70:G70"/>
    <mergeCell ref="B4:B6"/>
    <mergeCell ref="A4:A6"/>
    <mergeCell ref="K5:M5"/>
    <mergeCell ref="A1:G1"/>
    <mergeCell ref="A2:G2"/>
    <mergeCell ref="F3:G3"/>
    <mergeCell ref="F4:F6"/>
    <mergeCell ref="E4:E6"/>
    <mergeCell ref="D4:D6"/>
    <mergeCell ref="C4:C6"/>
    <mergeCell ref="G4:G6"/>
  </mergeCells>
  <pageMargins left="0.39" right="0.35" top="0.38" bottom="0.46" header="0.3" footer="0.3"/>
  <pageSetup paperSize="9" scale="98"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L33"/>
  <sheetViews>
    <sheetView topLeftCell="A10" workbookViewId="0">
      <selection activeCell="F28" sqref="F28"/>
    </sheetView>
  </sheetViews>
  <sheetFormatPr defaultRowHeight="15.75" x14ac:dyDescent="0.25"/>
  <cols>
    <col min="1" max="1" width="5.42578125" style="78" customWidth="1"/>
    <col min="2" max="2" width="36.140625" style="58" customWidth="1"/>
    <col min="3" max="3" width="9.140625" style="58"/>
    <col min="4" max="4" width="8" style="58" customWidth="1"/>
    <col min="5" max="5" width="9.140625" style="203"/>
    <col min="6" max="6" width="8.28515625" style="58" customWidth="1"/>
    <col min="7" max="7" width="15.5703125" style="198" customWidth="1"/>
    <col min="8" max="11" width="9.140625" style="58"/>
    <col min="12" max="12" width="14.28515625" style="58" bestFit="1" customWidth="1"/>
    <col min="13" max="16384" width="9.140625" style="58"/>
  </cols>
  <sheetData>
    <row r="1" spans="1:7" s="64" customFormat="1" ht="43.9" customHeight="1" x14ac:dyDescent="0.25">
      <c r="A1" s="297" t="str">
        <f>'P.Kinh tế'!A1:G1</f>
        <v>BIỂU GIAO DỰ TOÁN KINH PHÍ NĂM 2025
 (THỜI GIAN THỰC HIỆN TỪ 01/7/2025 ĐẾN 31/12/2025)</v>
      </c>
      <c r="B1" s="298"/>
      <c r="C1" s="298"/>
      <c r="D1" s="298"/>
      <c r="E1" s="298"/>
      <c r="F1" s="298"/>
      <c r="G1" s="298"/>
    </row>
    <row r="2" spans="1:7" s="64" customFormat="1" ht="24" customHeight="1" x14ac:dyDescent="0.25">
      <c r="A2" s="299" t="str">
        <f>+'P.Kinh tế'!A2:G2</f>
        <v>(Kèm theo Quyết định số 815/QĐ-UBND ngày 05  tháng 11 năm 2025 của UBND xã)</v>
      </c>
      <c r="B2" s="299"/>
      <c r="C2" s="299"/>
      <c r="D2" s="299"/>
      <c r="E2" s="299"/>
      <c r="F2" s="299"/>
      <c r="G2" s="299"/>
    </row>
    <row r="3" spans="1:7" s="65" customFormat="1" ht="24" customHeight="1" x14ac:dyDescent="0.25">
      <c r="A3" s="81" t="s">
        <v>117</v>
      </c>
      <c r="E3" s="199"/>
      <c r="F3" s="300" t="s">
        <v>93</v>
      </c>
      <c r="G3" s="300"/>
    </row>
    <row r="4" spans="1:7" ht="49.5" customHeight="1" x14ac:dyDescent="0.25">
      <c r="A4" s="57" t="s">
        <v>2</v>
      </c>
      <c r="B4" s="57" t="s">
        <v>3</v>
      </c>
      <c r="C4" s="57" t="s">
        <v>87</v>
      </c>
      <c r="D4" s="57" t="s">
        <v>88</v>
      </c>
      <c r="E4" s="200" t="s">
        <v>89</v>
      </c>
      <c r="F4" s="57" t="s">
        <v>90</v>
      </c>
      <c r="G4" s="75" t="s">
        <v>91</v>
      </c>
    </row>
    <row r="5" spans="1:7" ht="21" customHeight="1" x14ac:dyDescent="0.25">
      <c r="A5" s="117"/>
      <c r="B5" s="97" t="s">
        <v>94</v>
      </c>
      <c r="C5" s="117"/>
      <c r="D5" s="117"/>
      <c r="E5" s="201"/>
      <c r="F5" s="117"/>
      <c r="G5" s="98">
        <f>+G6+G23</f>
        <v>8966505000</v>
      </c>
    </row>
    <row r="6" spans="1:7" ht="21" customHeight="1" x14ac:dyDescent="0.25">
      <c r="A6" s="117" t="s">
        <v>25</v>
      </c>
      <c r="B6" s="97" t="s">
        <v>173</v>
      </c>
      <c r="C6" s="117"/>
      <c r="D6" s="117"/>
      <c r="E6" s="201"/>
      <c r="F6" s="117"/>
      <c r="G6" s="98">
        <f>+G7+G14+G20</f>
        <v>8326505000</v>
      </c>
    </row>
    <row r="7" spans="1:7" s="61" customFormat="1" ht="21" customHeight="1" x14ac:dyDescent="0.25">
      <c r="A7" s="117" t="s">
        <v>7</v>
      </c>
      <c r="B7" s="97" t="s">
        <v>99</v>
      </c>
      <c r="C7" s="117"/>
      <c r="D7" s="117"/>
      <c r="E7" s="201"/>
      <c r="F7" s="117"/>
      <c r="G7" s="98">
        <f>+G8+G9</f>
        <v>1592000000</v>
      </c>
    </row>
    <row r="8" spans="1:7" ht="30" customHeight="1" x14ac:dyDescent="0.25">
      <c r="A8" s="99">
        <v>1</v>
      </c>
      <c r="B8" s="100" t="s">
        <v>95</v>
      </c>
      <c r="C8" s="99">
        <v>832</v>
      </c>
      <c r="D8" s="99">
        <v>340</v>
      </c>
      <c r="E8" s="99">
        <v>341</v>
      </c>
      <c r="F8" s="99">
        <v>13</v>
      </c>
      <c r="G8" s="101">
        <v>1201000000</v>
      </c>
    </row>
    <row r="9" spans="1:7" x14ac:dyDescent="0.25">
      <c r="A9" s="102">
        <v>2</v>
      </c>
      <c r="B9" s="100" t="s">
        <v>96</v>
      </c>
      <c r="C9" s="99"/>
      <c r="D9" s="99"/>
      <c r="E9" s="99"/>
      <c r="F9" s="99"/>
      <c r="G9" s="85">
        <f>SUM(G10:G13)</f>
        <v>391000000</v>
      </c>
    </row>
    <row r="10" spans="1:7" s="80" customFormat="1" x14ac:dyDescent="0.25">
      <c r="A10" s="104" t="s">
        <v>68</v>
      </c>
      <c r="B10" s="90" t="s">
        <v>127</v>
      </c>
      <c r="C10" s="103">
        <v>832</v>
      </c>
      <c r="D10" s="103">
        <v>340</v>
      </c>
      <c r="E10" s="103">
        <v>341</v>
      </c>
      <c r="F10" s="103">
        <v>12</v>
      </c>
      <c r="G10" s="196">
        <v>7000000</v>
      </c>
    </row>
    <row r="11" spans="1:7" s="80" customFormat="1" x14ac:dyDescent="0.25">
      <c r="A11" s="104" t="s">
        <v>68</v>
      </c>
      <c r="B11" s="90" t="s">
        <v>254</v>
      </c>
      <c r="C11" s="103">
        <v>832</v>
      </c>
      <c r="D11" s="103">
        <v>340</v>
      </c>
      <c r="E11" s="103">
        <v>341</v>
      </c>
      <c r="F11" s="103">
        <v>12</v>
      </c>
      <c r="G11" s="196">
        <v>254000000</v>
      </c>
    </row>
    <row r="12" spans="1:7" s="80" customFormat="1" x14ac:dyDescent="0.25">
      <c r="A12" s="104" t="s">
        <v>68</v>
      </c>
      <c r="B12" s="90" t="s">
        <v>128</v>
      </c>
      <c r="C12" s="103">
        <v>832</v>
      </c>
      <c r="D12" s="103">
        <v>340</v>
      </c>
      <c r="E12" s="103">
        <v>341</v>
      </c>
      <c r="F12" s="103">
        <v>12</v>
      </c>
      <c r="G12" s="196">
        <v>29000000</v>
      </c>
    </row>
    <row r="13" spans="1:7" s="256" customFormat="1" ht="31.5" x14ac:dyDescent="0.25">
      <c r="A13" s="103" t="s">
        <v>68</v>
      </c>
      <c r="B13" s="182" t="s">
        <v>160</v>
      </c>
      <c r="C13" s="103">
        <v>832</v>
      </c>
      <c r="D13" s="103">
        <v>340</v>
      </c>
      <c r="E13" s="103">
        <v>341</v>
      </c>
      <c r="F13" s="103">
        <v>18</v>
      </c>
      <c r="G13" s="88">
        <v>101000000</v>
      </c>
    </row>
    <row r="14" spans="1:7" s="61" customFormat="1" x14ac:dyDescent="0.25">
      <c r="A14" s="108" t="s">
        <v>4</v>
      </c>
      <c r="B14" s="109" t="s">
        <v>18</v>
      </c>
      <c r="C14" s="108"/>
      <c r="D14" s="108"/>
      <c r="E14" s="108"/>
      <c r="F14" s="108"/>
      <c r="G14" s="197">
        <f>SUM(G15:G19)</f>
        <v>6669505000</v>
      </c>
    </row>
    <row r="15" spans="1:7" s="64" customFormat="1" ht="31.5" x14ac:dyDescent="0.25">
      <c r="A15" s="103" t="s">
        <v>68</v>
      </c>
      <c r="B15" s="95" t="s">
        <v>149</v>
      </c>
      <c r="C15" s="99">
        <v>832</v>
      </c>
      <c r="D15" s="99">
        <v>370</v>
      </c>
      <c r="E15" s="99">
        <v>398</v>
      </c>
      <c r="F15" s="99">
        <v>12</v>
      </c>
      <c r="G15" s="101">
        <v>5569510000</v>
      </c>
    </row>
    <row r="16" spans="1:7" x14ac:dyDescent="0.25">
      <c r="A16" s="104" t="s">
        <v>68</v>
      </c>
      <c r="B16" s="95" t="s">
        <v>150</v>
      </c>
      <c r="C16" s="99">
        <v>832</v>
      </c>
      <c r="D16" s="99">
        <v>370</v>
      </c>
      <c r="E16" s="99">
        <v>398</v>
      </c>
      <c r="F16" s="99">
        <v>12</v>
      </c>
      <c r="G16" s="85">
        <f>190000000</f>
        <v>190000000</v>
      </c>
    </row>
    <row r="17" spans="1:12" s="64" customFormat="1" ht="31.5" x14ac:dyDescent="0.25">
      <c r="A17" s="103" t="s">
        <v>68</v>
      </c>
      <c r="B17" s="96" t="s">
        <v>151</v>
      </c>
      <c r="C17" s="99">
        <v>832</v>
      </c>
      <c r="D17" s="99">
        <v>370</v>
      </c>
      <c r="E17" s="99">
        <v>398</v>
      </c>
      <c r="F17" s="99">
        <v>12</v>
      </c>
      <c r="G17" s="101">
        <v>820495000</v>
      </c>
    </row>
    <row r="18" spans="1:12" s="64" customFormat="1" ht="31.5" x14ac:dyDescent="0.25">
      <c r="A18" s="103" t="s">
        <v>68</v>
      </c>
      <c r="B18" s="96" t="s">
        <v>257</v>
      </c>
      <c r="C18" s="99">
        <v>832</v>
      </c>
      <c r="D18" s="99">
        <v>370</v>
      </c>
      <c r="E18" s="99">
        <v>398</v>
      </c>
      <c r="F18" s="99">
        <v>12</v>
      </c>
      <c r="G18" s="101">
        <v>9500000</v>
      </c>
    </row>
    <row r="19" spans="1:12" s="64" customFormat="1" ht="47.25" x14ac:dyDescent="0.25">
      <c r="A19" s="103" t="s">
        <v>68</v>
      </c>
      <c r="B19" s="96" t="s">
        <v>152</v>
      </c>
      <c r="C19" s="99">
        <v>832</v>
      </c>
      <c r="D19" s="99">
        <v>370</v>
      </c>
      <c r="E19" s="99">
        <v>374</v>
      </c>
      <c r="F19" s="99">
        <v>12</v>
      </c>
      <c r="G19" s="159">
        <v>80000000</v>
      </c>
    </row>
    <row r="20" spans="1:12" s="61" customFormat="1" x14ac:dyDescent="0.25">
      <c r="A20" s="108" t="s">
        <v>16</v>
      </c>
      <c r="B20" s="115" t="s">
        <v>101</v>
      </c>
      <c r="C20" s="117"/>
      <c r="D20" s="117"/>
      <c r="E20" s="117"/>
      <c r="F20" s="117"/>
      <c r="G20" s="158">
        <f>SUM(G21:G22)</f>
        <v>65000000</v>
      </c>
    </row>
    <row r="21" spans="1:12" s="64" customFormat="1" x14ac:dyDescent="0.25">
      <c r="A21" s="99">
        <v>1</v>
      </c>
      <c r="B21" s="96" t="s">
        <v>258</v>
      </c>
      <c r="C21" s="99">
        <v>832</v>
      </c>
      <c r="D21" s="68" t="s">
        <v>102</v>
      </c>
      <c r="E21" s="68" t="s">
        <v>194</v>
      </c>
      <c r="F21" s="99">
        <v>12</v>
      </c>
      <c r="G21" s="159">
        <v>55000000</v>
      </c>
      <c r="L21" s="260"/>
    </row>
    <row r="22" spans="1:12" s="64" customFormat="1" ht="31.5" x14ac:dyDescent="0.25">
      <c r="A22" s="99">
        <v>2</v>
      </c>
      <c r="B22" s="96" t="s">
        <v>196</v>
      </c>
      <c r="C22" s="99">
        <v>832</v>
      </c>
      <c r="D22" s="68" t="s">
        <v>102</v>
      </c>
      <c r="E22" s="68" t="s">
        <v>194</v>
      </c>
      <c r="F22" s="99">
        <v>12</v>
      </c>
      <c r="G22" s="159">
        <v>10000000</v>
      </c>
      <c r="L22" s="260"/>
    </row>
    <row r="23" spans="1:12" s="61" customFormat="1" x14ac:dyDescent="0.25">
      <c r="A23" s="108" t="s">
        <v>26</v>
      </c>
      <c r="B23" s="109" t="s">
        <v>133</v>
      </c>
      <c r="C23" s="108"/>
      <c r="D23" s="108"/>
      <c r="E23" s="108"/>
      <c r="F23" s="108"/>
      <c r="G23" s="197">
        <f>+G24</f>
        <v>640000000</v>
      </c>
    </row>
    <row r="24" spans="1:12" s="64" customFormat="1" ht="42.75" x14ac:dyDescent="0.25">
      <c r="A24" s="117" t="s">
        <v>7</v>
      </c>
      <c r="B24" s="92" t="s">
        <v>180</v>
      </c>
      <c r="C24" s="99"/>
      <c r="D24" s="99"/>
      <c r="E24" s="99"/>
      <c r="F24" s="99"/>
      <c r="G24" s="98">
        <f>G25</f>
        <v>640000000</v>
      </c>
    </row>
    <row r="25" spans="1:12" s="64" customFormat="1" ht="28.5" x14ac:dyDescent="0.25">
      <c r="A25" s="117">
        <v>1</v>
      </c>
      <c r="B25" s="92" t="s">
        <v>184</v>
      </c>
      <c r="C25" s="99"/>
      <c r="D25" s="99"/>
      <c r="E25" s="99"/>
      <c r="F25" s="99"/>
      <c r="G25" s="98">
        <f>+G26</f>
        <v>640000000</v>
      </c>
    </row>
    <row r="26" spans="1:12" s="64" customFormat="1" x14ac:dyDescent="0.25">
      <c r="A26" s="99" t="s">
        <v>137</v>
      </c>
      <c r="B26" s="93" t="s">
        <v>204</v>
      </c>
      <c r="C26" s="99"/>
      <c r="D26" s="99"/>
      <c r="E26" s="99"/>
      <c r="F26" s="99"/>
      <c r="G26" s="147">
        <f>+G27</f>
        <v>640000000</v>
      </c>
    </row>
    <row r="27" spans="1:12" s="256" customFormat="1" x14ac:dyDescent="0.25">
      <c r="A27" s="103" t="s">
        <v>68</v>
      </c>
      <c r="B27" s="259" t="s">
        <v>186</v>
      </c>
      <c r="C27" s="99">
        <v>832</v>
      </c>
      <c r="D27" s="103">
        <v>130</v>
      </c>
      <c r="E27" s="103">
        <v>131</v>
      </c>
      <c r="F27" s="103">
        <v>12</v>
      </c>
      <c r="G27" s="148">
        <v>640000000</v>
      </c>
    </row>
    <row r="29" spans="1:12" s="247" customFormat="1" ht="12.75" x14ac:dyDescent="0.2">
      <c r="A29" s="311" t="s">
        <v>225</v>
      </c>
      <c r="B29" s="311"/>
    </row>
    <row r="30" spans="1:12" s="247" customFormat="1" ht="12.75" x14ac:dyDescent="0.2">
      <c r="A30" s="305" t="s">
        <v>226</v>
      </c>
      <c r="B30" s="305"/>
      <c r="C30" s="305"/>
      <c r="D30" s="305"/>
      <c r="E30" s="305"/>
      <c r="F30" s="305"/>
      <c r="G30" s="305"/>
    </row>
    <row r="31" spans="1:12" s="247" customFormat="1" ht="12.75" x14ac:dyDescent="0.2">
      <c r="A31" s="305" t="s">
        <v>230</v>
      </c>
      <c r="B31" s="305"/>
      <c r="C31" s="305"/>
      <c r="D31" s="305"/>
      <c r="E31" s="305"/>
      <c r="F31" s="305"/>
      <c r="G31" s="305"/>
    </row>
    <row r="32" spans="1:12" s="247" customFormat="1" ht="12.75" x14ac:dyDescent="0.2">
      <c r="A32" s="305" t="s">
        <v>255</v>
      </c>
      <c r="B32" s="305"/>
      <c r="C32" s="305"/>
      <c r="D32" s="305"/>
      <c r="E32" s="305"/>
      <c r="F32" s="305"/>
      <c r="G32" s="305"/>
    </row>
    <row r="33" spans="1:7" s="247" customFormat="1" ht="12.75" x14ac:dyDescent="0.2">
      <c r="A33" s="306" t="s">
        <v>256</v>
      </c>
      <c r="B33" s="306"/>
      <c r="C33" s="306"/>
      <c r="D33" s="306"/>
      <c r="E33" s="306"/>
      <c r="F33" s="306"/>
      <c r="G33" s="306"/>
    </row>
  </sheetData>
  <mergeCells count="8">
    <mergeCell ref="A32:G32"/>
    <mergeCell ref="A33:G33"/>
    <mergeCell ref="A1:G1"/>
    <mergeCell ref="A2:G2"/>
    <mergeCell ref="F3:G3"/>
    <mergeCell ref="A29:B29"/>
    <mergeCell ref="A30:G30"/>
    <mergeCell ref="A31:G31"/>
  </mergeCells>
  <pageMargins left="0.52" right="0.2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G15"/>
  <sheetViews>
    <sheetView workbookViewId="0">
      <selection activeCell="G17" sqref="G17"/>
    </sheetView>
  </sheetViews>
  <sheetFormatPr defaultRowHeight="15.75" x14ac:dyDescent="0.25"/>
  <cols>
    <col min="1" max="1" width="5.42578125" style="78" customWidth="1"/>
    <col min="2" max="2" width="36.140625" style="58" customWidth="1"/>
    <col min="3" max="3" width="9.140625" style="58"/>
    <col min="4" max="4" width="8" style="58" customWidth="1"/>
    <col min="5" max="5" width="9.140625" style="58"/>
    <col min="6" max="6" width="8.28515625" style="58" customWidth="1"/>
    <col min="7" max="7" width="14.7109375" style="76" customWidth="1"/>
    <col min="8" max="16384" width="9.140625" style="58"/>
  </cols>
  <sheetData>
    <row r="1" spans="1:7" s="64" customFormat="1" ht="32.25" customHeight="1" x14ac:dyDescent="0.25">
      <c r="A1" s="297" t="str">
        <f>+'P. VH-XH'!A1:G1</f>
        <v>BIỂU GIAO DỰ TOÁN KINH PHÍ NĂM 2025
 (THỜI GIAN THỰC HIỆN TỪ 01/7/2025 ĐẾN 31/12/2025)</v>
      </c>
      <c r="B1" s="298"/>
      <c r="C1" s="298"/>
      <c r="D1" s="298"/>
      <c r="E1" s="298"/>
      <c r="F1" s="298"/>
      <c r="G1" s="298"/>
    </row>
    <row r="2" spans="1:7" s="64" customFormat="1" ht="24" customHeight="1" x14ac:dyDescent="0.25">
      <c r="A2" s="299" t="str">
        <f>+'P. VH-XH'!A2:G2</f>
        <v>(Kèm theo Quyết định số 815/QĐ-UBND ngày 05  tháng 11 năm 2025 của UBND xã)</v>
      </c>
      <c r="B2" s="299"/>
      <c r="C2" s="299"/>
      <c r="D2" s="299"/>
      <c r="E2" s="299"/>
      <c r="F2" s="299"/>
      <c r="G2" s="299"/>
    </row>
    <row r="3" spans="1:7" s="65" customFormat="1" ht="24" customHeight="1" x14ac:dyDescent="0.25">
      <c r="A3" s="81" t="s">
        <v>118</v>
      </c>
      <c r="F3" s="300" t="s">
        <v>93</v>
      </c>
      <c r="G3" s="300"/>
    </row>
    <row r="4" spans="1:7" ht="49.5" customHeight="1" x14ac:dyDescent="0.25">
      <c r="A4" s="57" t="s">
        <v>2</v>
      </c>
      <c r="B4" s="57" t="s">
        <v>3</v>
      </c>
      <c r="C4" s="57" t="s">
        <v>87</v>
      </c>
      <c r="D4" s="57" t="s">
        <v>88</v>
      </c>
      <c r="E4" s="57" t="s">
        <v>89</v>
      </c>
      <c r="F4" s="57" t="s">
        <v>90</v>
      </c>
      <c r="G4" s="75" t="s">
        <v>91</v>
      </c>
    </row>
    <row r="5" spans="1:7" ht="21" customHeight="1" x14ac:dyDescent="0.25">
      <c r="A5" s="59"/>
      <c r="B5" s="60" t="s">
        <v>94</v>
      </c>
      <c r="C5" s="59"/>
      <c r="D5" s="59"/>
      <c r="E5" s="59"/>
      <c r="F5" s="59"/>
      <c r="G5" s="66">
        <f>+G6</f>
        <v>1046000000</v>
      </c>
    </row>
    <row r="6" spans="1:7" s="61" customFormat="1" ht="21" customHeight="1" x14ac:dyDescent="0.25">
      <c r="A6" s="59" t="s">
        <v>7</v>
      </c>
      <c r="B6" s="60" t="s">
        <v>99</v>
      </c>
      <c r="C6" s="59"/>
      <c r="D6" s="59"/>
      <c r="E6" s="59"/>
      <c r="F6" s="59"/>
      <c r="G6" s="66">
        <f>+G7+G8</f>
        <v>1046000000</v>
      </c>
    </row>
    <row r="7" spans="1:7" ht="30" customHeight="1" x14ac:dyDescent="0.25">
      <c r="A7" s="99">
        <v>1</v>
      </c>
      <c r="B7" s="100" t="s">
        <v>95</v>
      </c>
      <c r="C7" s="99">
        <v>833</v>
      </c>
      <c r="D7" s="99">
        <v>340</v>
      </c>
      <c r="E7" s="99">
        <v>341</v>
      </c>
      <c r="F7" s="99">
        <v>13</v>
      </c>
      <c r="G7" s="101">
        <v>944000000</v>
      </c>
    </row>
    <row r="8" spans="1:7" x14ac:dyDescent="0.25">
      <c r="A8" s="102">
        <v>2</v>
      </c>
      <c r="B8" s="100" t="s">
        <v>96</v>
      </c>
      <c r="C8" s="112"/>
      <c r="D8" s="112"/>
      <c r="E8" s="112"/>
      <c r="F8" s="112"/>
      <c r="G8" s="105">
        <f>+G9+G10</f>
        <v>102000000</v>
      </c>
    </row>
    <row r="9" spans="1:7" s="80" customFormat="1" x14ac:dyDescent="0.25">
      <c r="A9" s="104" t="s">
        <v>274</v>
      </c>
      <c r="B9" s="90" t="s">
        <v>127</v>
      </c>
      <c r="C9" s="103">
        <v>833</v>
      </c>
      <c r="D9" s="103">
        <v>340</v>
      </c>
      <c r="E9" s="103">
        <v>341</v>
      </c>
      <c r="F9" s="103">
        <v>12</v>
      </c>
      <c r="G9" s="107">
        <v>5000000</v>
      </c>
    </row>
    <row r="10" spans="1:7" s="80" customFormat="1" ht="31.5" x14ac:dyDescent="0.25">
      <c r="A10" s="104" t="s">
        <v>274</v>
      </c>
      <c r="B10" s="106" t="str">
        <f>+'P. VH-XH'!B13</f>
        <v>Quỹ tiền thưởng theo Nghị định số 73/2024/NĐ-CP</v>
      </c>
      <c r="C10" s="103">
        <v>833</v>
      </c>
      <c r="D10" s="103">
        <v>340</v>
      </c>
      <c r="E10" s="103">
        <v>341</v>
      </c>
      <c r="F10" s="104">
        <v>18</v>
      </c>
      <c r="G10" s="107">
        <v>97000000</v>
      </c>
    </row>
    <row r="12" spans="1:7" s="247" customFormat="1" ht="12.75" x14ac:dyDescent="0.2">
      <c r="A12" s="311" t="s">
        <v>225</v>
      </c>
      <c r="B12" s="311"/>
    </row>
    <row r="13" spans="1:7" s="247" customFormat="1" ht="12.75" x14ac:dyDescent="0.2">
      <c r="A13" s="305" t="s">
        <v>226</v>
      </c>
      <c r="B13" s="305"/>
      <c r="C13" s="305"/>
      <c r="D13" s="305"/>
      <c r="E13" s="305"/>
      <c r="F13" s="305"/>
      <c r="G13" s="305"/>
    </row>
    <row r="14" spans="1:7" s="247" customFormat="1" ht="12.75" x14ac:dyDescent="0.2">
      <c r="A14" s="305" t="s">
        <v>230</v>
      </c>
      <c r="B14" s="305"/>
      <c r="C14" s="305"/>
      <c r="D14" s="305"/>
      <c r="E14" s="305"/>
      <c r="F14" s="305"/>
      <c r="G14" s="305"/>
    </row>
    <row r="15" spans="1:7" s="247" customFormat="1" ht="12.75" x14ac:dyDescent="0.2">
      <c r="A15" s="306" t="s">
        <v>256</v>
      </c>
      <c r="B15" s="306"/>
      <c r="C15" s="306"/>
      <c r="D15" s="306"/>
      <c r="E15" s="306"/>
      <c r="F15" s="306"/>
      <c r="G15" s="306"/>
    </row>
  </sheetData>
  <mergeCells count="7">
    <mergeCell ref="A15:G15"/>
    <mergeCell ref="A1:G1"/>
    <mergeCell ref="A2:G2"/>
    <mergeCell ref="F3:G3"/>
    <mergeCell ref="A12:B12"/>
    <mergeCell ref="A13:G13"/>
    <mergeCell ref="A14:G14"/>
  </mergeCells>
  <pageMargins left="0.39"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G24"/>
  <sheetViews>
    <sheetView topLeftCell="A10" workbookViewId="0">
      <selection activeCell="A22" sqref="A22:G22"/>
    </sheetView>
  </sheetViews>
  <sheetFormatPr defaultRowHeight="15.75" x14ac:dyDescent="0.25"/>
  <cols>
    <col min="1" max="1" width="5.42578125" style="58" customWidth="1"/>
    <col min="2" max="2" width="36.140625" style="58" customWidth="1"/>
    <col min="3" max="3" width="14" style="58" bestFit="1" customWidth="1"/>
    <col min="4" max="4" width="8" style="58" customWidth="1"/>
    <col min="5" max="5" width="9.28515625" style="58" bestFit="1" customWidth="1"/>
    <col min="6" max="6" width="8.28515625" style="58" customWidth="1"/>
    <col min="7" max="7" width="16.28515625" style="203" customWidth="1"/>
    <col min="8" max="16384" width="9.140625" style="58"/>
  </cols>
  <sheetData>
    <row r="1" spans="1:7" s="64" customFormat="1" ht="40.5" customHeight="1" x14ac:dyDescent="0.25">
      <c r="A1" s="297" t="str">
        <f>+'TT DVHCC'!A1:G1</f>
        <v>BIỂU GIAO DỰ TOÁN KINH PHÍ NĂM 2025
 (THỜI GIAN THỰC HIỆN TỪ 01/7/2025 ĐẾN 31/12/2025)</v>
      </c>
      <c r="B1" s="298"/>
      <c r="C1" s="298"/>
      <c r="D1" s="298"/>
      <c r="E1" s="298"/>
      <c r="F1" s="298"/>
      <c r="G1" s="298"/>
    </row>
    <row r="2" spans="1:7" s="64" customFormat="1" ht="24" customHeight="1" x14ac:dyDescent="0.25">
      <c r="A2" s="299" t="str">
        <f>+'TT DVTH'!A2:G2</f>
        <v>(Kèm theo Quyết định số 815/QĐ-UBND ngày 05  tháng 11 năm 2025 của UBND xã)</v>
      </c>
      <c r="B2" s="299"/>
      <c r="C2" s="299"/>
      <c r="D2" s="299"/>
      <c r="E2" s="299"/>
      <c r="F2" s="299"/>
      <c r="G2" s="299"/>
    </row>
    <row r="3" spans="1:7" s="65" customFormat="1" ht="24" customHeight="1" x14ac:dyDescent="0.25">
      <c r="A3" s="65" t="s">
        <v>119</v>
      </c>
      <c r="F3" s="300" t="s">
        <v>93</v>
      </c>
      <c r="G3" s="300"/>
    </row>
    <row r="4" spans="1:7" ht="49.5" customHeight="1" x14ac:dyDescent="0.25">
      <c r="A4" s="116" t="s">
        <v>2</v>
      </c>
      <c r="B4" s="116" t="s">
        <v>3</v>
      </c>
      <c r="C4" s="116" t="s">
        <v>87</v>
      </c>
      <c r="D4" s="116" t="s">
        <v>88</v>
      </c>
      <c r="E4" s="116" t="s">
        <v>89</v>
      </c>
      <c r="F4" s="116" t="s">
        <v>90</v>
      </c>
      <c r="G4" s="200" t="s">
        <v>91</v>
      </c>
    </row>
    <row r="5" spans="1:7" ht="21" customHeight="1" x14ac:dyDescent="0.25">
      <c r="A5" s="117"/>
      <c r="B5" s="97" t="s">
        <v>94</v>
      </c>
      <c r="C5" s="117"/>
      <c r="D5" s="117"/>
      <c r="E5" s="117"/>
      <c r="F5" s="117"/>
      <c r="G5" s="98">
        <f>+G6+G16</f>
        <v>3235000000</v>
      </c>
    </row>
    <row r="6" spans="1:7" ht="21" customHeight="1" x14ac:dyDescent="0.25">
      <c r="A6" s="117" t="s">
        <v>25</v>
      </c>
      <c r="B6" s="97" t="s">
        <v>173</v>
      </c>
      <c r="C6" s="117"/>
      <c r="D6" s="117"/>
      <c r="E6" s="117"/>
      <c r="F6" s="117"/>
      <c r="G6" s="98">
        <f>+G7+G14</f>
        <v>3185000000</v>
      </c>
    </row>
    <row r="7" spans="1:7" s="61" customFormat="1" ht="21" customHeight="1" x14ac:dyDescent="0.25">
      <c r="A7" s="117" t="s">
        <v>7</v>
      </c>
      <c r="B7" s="97" t="s">
        <v>106</v>
      </c>
      <c r="C7" s="117"/>
      <c r="D7" s="117"/>
      <c r="E7" s="117"/>
      <c r="F7" s="117"/>
      <c r="G7" s="98">
        <f>+G8+G9</f>
        <v>2965000000</v>
      </c>
    </row>
    <row r="8" spans="1:7" s="64" customFormat="1" ht="30" customHeight="1" x14ac:dyDescent="0.25">
      <c r="A8" s="99">
        <v>1</v>
      </c>
      <c r="B8" s="100" t="s">
        <v>95</v>
      </c>
      <c r="C8" s="99">
        <v>820</v>
      </c>
      <c r="D8" s="68">
        <v>340</v>
      </c>
      <c r="E8" s="68">
        <v>361</v>
      </c>
      <c r="F8" s="99">
        <v>13</v>
      </c>
      <c r="G8" s="101">
        <v>2566000000</v>
      </c>
    </row>
    <row r="9" spans="1:7" s="64" customFormat="1" ht="23.25" customHeight="1" x14ac:dyDescent="0.25">
      <c r="A9" s="99">
        <v>2</v>
      </c>
      <c r="B9" s="100" t="s">
        <v>96</v>
      </c>
      <c r="C9" s="99"/>
      <c r="D9" s="68"/>
      <c r="E9" s="68"/>
      <c r="F9" s="99"/>
      <c r="G9" s="101">
        <f>SUM(G10:G13)</f>
        <v>399000000</v>
      </c>
    </row>
    <row r="10" spans="1:7" s="256" customFormat="1" ht="31.5" x14ac:dyDescent="0.25">
      <c r="A10" s="103" t="s">
        <v>274</v>
      </c>
      <c r="B10" s="91" t="s">
        <v>130</v>
      </c>
      <c r="C10" s="99">
        <v>820</v>
      </c>
      <c r="D10" s="68">
        <v>340</v>
      </c>
      <c r="E10" s="68">
        <v>361</v>
      </c>
      <c r="F10" s="103">
        <v>12</v>
      </c>
      <c r="G10" s="88">
        <v>138000000</v>
      </c>
    </row>
    <row r="11" spans="1:7" s="256" customFormat="1" ht="47.25" x14ac:dyDescent="0.25">
      <c r="A11" s="103" t="s">
        <v>274</v>
      </c>
      <c r="B11" s="91" t="s">
        <v>131</v>
      </c>
      <c r="C11" s="99">
        <v>820</v>
      </c>
      <c r="D11" s="68">
        <v>340</v>
      </c>
      <c r="E11" s="68">
        <v>361</v>
      </c>
      <c r="F11" s="103">
        <v>12</v>
      </c>
      <c r="G11" s="88">
        <v>152000000</v>
      </c>
    </row>
    <row r="12" spans="1:7" s="256" customFormat="1" x14ac:dyDescent="0.25">
      <c r="A12" s="103" t="s">
        <v>274</v>
      </c>
      <c r="B12" s="91" t="s">
        <v>129</v>
      </c>
      <c r="C12" s="99">
        <v>820</v>
      </c>
      <c r="D12" s="68">
        <v>340</v>
      </c>
      <c r="E12" s="68">
        <v>361</v>
      </c>
      <c r="F12" s="103">
        <v>12</v>
      </c>
      <c r="G12" s="88">
        <v>5000000</v>
      </c>
    </row>
    <row r="13" spans="1:7" s="256" customFormat="1" ht="34.15" customHeight="1" x14ac:dyDescent="0.25">
      <c r="A13" s="103" t="s">
        <v>274</v>
      </c>
      <c r="B13" s="91" t="str">
        <f>+'TT DVHCC'!B10</f>
        <v>Quỹ tiền thưởng theo Nghị định số 73/2024/NĐ-CP</v>
      </c>
      <c r="C13" s="99">
        <v>820</v>
      </c>
      <c r="D13" s="68">
        <v>340</v>
      </c>
      <c r="E13" s="68">
        <v>361</v>
      </c>
      <c r="F13" s="103">
        <v>18</v>
      </c>
      <c r="G13" s="88">
        <v>104000000</v>
      </c>
    </row>
    <row r="14" spans="1:7" s="61" customFormat="1" x14ac:dyDescent="0.25">
      <c r="A14" s="108" t="s">
        <v>4</v>
      </c>
      <c r="B14" s="109" t="s">
        <v>140</v>
      </c>
      <c r="C14" s="109"/>
      <c r="D14" s="109"/>
      <c r="E14" s="109"/>
      <c r="F14" s="109"/>
      <c r="G14" s="197">
        <f>+G15</f>
        <v>220000000</v>
      </c>
    </row>
    <row r="15" spans="1:7" s="64" customFormat="1" ht="47.25" x14ac:dyDescent="0.25">
      <c r="A15" s="99" t="s">
        <v>274</v>
      </c>
      <c r="B15" s="261" t="s">
        <v>210</v>
      </c>
      <c r="C15" s="99">
        <v>820</v>
      </c>
      <c r="D15" s="99">
        <v>160</v>
      </c>
      <c r="E15" s="99">
        <v>161</v>
      </c>
      <c r="F15" s="99">
        <v>12</v>
      </c>
      <c r="G15" s="101">
        <v>220000000</v>
      </c>
    </row>
    <row r="16" spans="1:7" x14ac:dyDescent="0.25">
      <c r="A16" s="117" t="s">
        <v>26</v>
      </c>
      <c r="B16" s="109" t="s">
        <v>133</v>
      </c>
      <c r="C16" s="112"/>
      <c r="D16" s="112"/>
      <c r="E16" s="112"/>
      <c r="F16" s="112"/>
      <c r="G16" s="206">
        <f>+G17</f>
        <v>50000000</v>
      </c>
    </row>
    <row r="17" spans="1:7" s="64" customFormat="1" ht="78.75" x14ac:dyDescent="0.25">
      <c r="A17" s="117" t="s">
        <v>7</v>
      </c>
      <c r="B17" s="258" t="s">
        <v>134</v>
      </c>
      <c r="C17" s="257"/>
      <c r="D17" s="257"/>
      <c r="E17" s="257"/>
      <c r="F17" s="257"/>
      <c r="G17" s="263">
        <f>+G18</f>
        <v>50000000</v>
      </c>
    </row>
    <row r="18" spans="1:7" s="64" customFormat="1" ht="47.25" x14ac:dyDescent="0.25">
      <c r="A18" s="117">
        <v>1</v>
      </c>
      <c r="B18" s="204" t="s">
        <v>205</v>
      </c>
      <c r="C18" s="257"/>
      <c r="D18" s="257"/>
      <c r="E18" s="257"/>
      <c r="F18" s="257"/>
      <c r="G18" s="98">
        <f>+G19</f>
        <v>50000000</v>
      </c>
    </row>
    <row r="19" spans="1:7" s="64" customFormat="1" x14ac:dyDescent="0.25">
      <c r="A19" s="99"/>
      <c r="B19" s="261" t="s">
        <v>176</v>
      </c>
      <c r="C19" s="257">
        <v>820</v>
      </c>
      <c r="D19" s="257">
        <v>370</v>
      </c>
      <c r="E19" s="257">
        <v>398</v>
      </c>
      <c r="F19" s="257">
        <v>12</v>
      </c>
      <c r="G19" s="156">
        <v>50000000</v>
      </c>
    </row>
    <row r="21" spans="1:7" s="247" customFormat="1" ht="12.75" x14ac:dyDescent="0.2">
      <c r="A21" s="311" t="s">
        <v>225</v>
      </c>
      <c r="B21" s="311"/>
    </row>
    <row r="22" spans="1:7" s="247" customFormat="1" ht="12.75" x14ac:dyDescent="0.2">
      <c r="A22" s="305" t="s">
        <v>226</v>
      </c>
      <c r="B22" s="305"/>
      <c r="C22" s="305"/>
      <c r="D22" s="305"/>
      <c r="E22" s="305"/>
      <c r="F22" s="305"/>
      <c r="G22" s="305"/>
    </row>
    <row r="23" spans="1:7" s="247" customFormat="1" ht="12.75" x14ac:dyDescent="0.2">
      <c r="A23" s="305" t="s">
        <v>230</v>
      </c>
      <c r="B23" s="305"/>
      <c r="C23" s="305"/>
      <c r="D23" s="305"/>
      <c r="E23" s="305"/>
      <c r="F23" s="305"/>
      <c r="G23" s="305"/>
    </row>
    <row r="24" spans="1:7" s="247" customFormat="1" ht="12.75" x14ac:dyDescent="0.2">
      <c r="A24" s="306" t="s">
        <v>256</v>
      </c>
      <c r="B24" s="306"/>
      <c r="C24" s="306"/>
      <c r="D24" s="306"/>
      <c r="E24" s="306"/>
      <c r="F24" s="306"/>
      <c r="G24" s="306"/>
    </row>
  </sheetData>
  <mergeCells count="7">
    <mergeCell ref="A24:G24"/>
    <mergeCell ref="A1:G1"/>
    <mergeCell ref="A2:G2"/>
    <mergeCell ref="F3:G3"/>
    <mergeCell ref="A21:B21"/>
    <mergeCell ref="A22:G22"/>
    <mergeCell ref="A23:G23"/>
  </mergeCells>
  <pageMargins left="0.46" right="0.42" top="0.75" bottom="0.75" header="0.3" footer="0.3"/>
  <pageSetup paperSize="9" scale="95"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33"/>
  <sheetViews>
    <sheetView topLeftCell="A4" workbookViewId="0">
      <selection activeCell="G25" sqref="G25"/>
    </sheetView>
  </sheetViews>
  <sheetFormatPr defaultRowHeight="15.75" x14ac:dyDescent="0.25"/>
  <cols>
    <col min="1" max="1" width="5.42578125" style="208" customWidth="1"/>
    <col min="2" max="2" width="36.140625" style="58" customWidth="1"/>
    <col min="3" max="3" width="9.140625" style="58"/>
    <col min="4" max="4" width="8" style="58" customWidth="1"/>
    <col min="5" max="5" width="9.140625" style="58"/>
    <col min="6" max="6" width="8.28515625" style="58" customWidth="1"/>
    <col min="7" max="7" width="15.7109375" style="76" customWidth="1"/>
    <col min="8" max="16384" width="9.140625" style="58"/>
  </cols>
  <sheetData>
    <row r="1" spans="1:7" s="64" customFormat="1" ht="35.25" customHeight="1" x14ac:dyDescent="0.25">
      <c r="A1" s="297" t="str">
        <f>+UBMTTQ!A1</f>
        <v>BIỂU GIAO DỰ TOÁN KINH PHÍ NĂM 2025
 (THỜI GIAN THỰC HIỆN TỪ 01/7/2025 ĐẾN 31/12/2025)</v>
      </c>
      <c r="B1" s="298"/>
      <c r="C1" s="298"/>
      <c r="D1" s="298"/>
      <c r="E1" s="298"/>
      <c r="F1" s="298"/>
      <c r="G1" s="298"/>
    </row>
    <row r="2" spans="1:7" s="64" customFormat="1" ht="24" customHeight="1" x14ac:dyDescent="0.25">
      <c r="A2" s="299" t="str">
        <f>+'TT DVHCC'!A2:G2</f>
        <v>(Kèm theo Quyết định số 815/QĐ-UBND ngày 05  tháng 11 năm 2025 của UBND xã)</v>
      </c>
      <c r="B2" s="299"/>
      <c r="C2" s="299"/>
      <c r="D2" s="299"/>
      <c r="E2" s="299"/>
      <c r="F2" s="299"/>
      <c r="G2" s="299"/>
    </row>
    <row r="3" spans="1:7" s="65" customFormat="1" ht="24" customHeight="1" x14ac:dyDescent="0.25">
      <c r="A3" s="81" t="s">
        <v>98</v>
      </c>
      <c r="F3" s="300" t="s">
        <v>93</v>
      </c>
      <c r="G3" s="300"/>
    </row>
    <row r="4" spans="1:7" ht="49.5" customHeight="1" x14ac:dyDescent="0.25">
      <c r="A4" s="116" t="s">
        <v>2</v>
      </c>
      <c r="B4" s="116" t="s">
        <v>3</v>
      </c>
      <c r="C4" s="116" t="s">
        <v>87</v>
      </c>
      <c r="D4" s="116" t="s">
        <v>88</v>
      </c>
      <c r="E4" s="116" t="s">
        <v>89</v>
      </c>
      <c r="F4" s="116" t="s">
        <v>90</v>
      </c>
      <c r="G4" s="75" t="s">
        <v>91</v>
      </c>
    </row>
    <row r="5" spans="1:7" ht="21" customHeight="1" x14ac:dyDescent="0.25">
      <c r="A5" s="117"/>
      <c r="B5" s="97" t="s">
        <v>94</v>
      </c>
      <c r="C5" s="117"/>
      <c r="D5" s="117"/>
      <c r="E5" s="117"/>
      <c r="F5" s="117"/>
      <c r="G5" s="98">
        <f>+G6+G16</f>
        <v>1991000000</v>
      </c>
    </row>
    <row r="6" spans="1:7" ht="21" customHeight="1" x14ac:dyDescent="0.25">
      <c r="A6" s="117" t="s">
        <v>25</v>
      </c>
      <c r="B6" s="97" t="s">
        <v>173</v>
      </c>
      <c r="C6" s="117"/>
      <c r="D6" s="117"/>
      <c r="E6" s="117"/>
      <c r="F6" s="117"/>
      <c r="G6" s="98">
        <f>+G7+G9+G14</f>
        <v>1305000000</v>
      </c>
    </row>
    <row r="7" spans="1:7" s="61" customFormat="1" ht="21" customHeight="1" x14ac:dyDescent="0.25">
      <c r="A7" s="117" t="s">
        <v>7</v>
      </c>
      <c r="B7" s="97" t="s">
        <v>267</v>
      </c>
      <c r="C7" s="117"/>
      <c r="D7" s="117"/>
      <c r="E7" s="117"/>
      <c r="F7" s="117"/>
      <c r="G7" s="98">
        <f>+G8</f>
        <v>219000000</v>
      </c>
    </row>
    <row r="8" spans="1:7" ht="18" customHeight="1" x14ac:dyDescent="0.25">
      <c r="A8" s="99">
        <v>1</v>
      </c>
      <c r="B8" s="100" t="s">
        <v>92</v>
      </c>
      <c r="C8" s="99">
        <v>821</v>
      </c>
      <c r="D8" s="99">
        <v>280</v>
      </c>
      <c r="E8" s="99">
        <v>161</v>
      </c>
      <c r="F8" s="99">
        <v>13</v>
      </c>
      <c r="G8" s="101">
        <v>219000000</v>
      </c>
    </row>
    <row r="9" spans="1:7" s="61" customFormat="1" ht="21" customHeight="1" x14ac:dyDescent="0.25">
      <c r="A9" s="117" t="s">
        <v>4</v>
      </c>
      <c r="B9" s="97" t="s">
        <v>139</v>
      </c>
      <c r="C9" s="117"/>
      <c r="D9" s="117"/>
      <c r="E9" s="117"/>
      <c r="F9" s="117"/>
      <c r="G9" s="98">
        <f>+G10+G11</f>
        <v>976000000</v>
      </c>
    </row>
    <row r="10" spans="1:7" ht="18" customHeight="1" x14ac:dyDescent="0.25">
      <c r="A10" s="99">
        <v>1</v>
      </c>
      <c r="B10" s="100" t="s">
        <v>92</v>
      </c>
      <c r="C10" s="99">
        <v>821</v>
      </c>
      <c r="D10" s="99">
        <v>280</v>
      </c>
      <c r="E10" s="99">
        <v>161</v>
      </c>
      <c r="F10" s="99">
        <v>13</v>
      </c>
      <c r="G10" s="101">
        <v>805000000</v>
      </c>
    </row>
    <row r="11" spans="1:7" ht="18" customHeight="1" x14ac:dyDescent="0.25">
      <c r="A11" s="99">
        <v>2</v>
      </c>
      <c r="B11" s="100" t="s">
        <v>143</v>
      </c>
      <c r="C11" s="99"/>
      <c r="D11" s="99"/>
      <c r="E11" s="99"/>
      <c r="F11" s="99"/>
      <c r="G11" s="101">
        <f>SUM(G12:G13)</f>
        <v>171000000</v>
      </c>
    </row>
    <row r="12" spans="1:7" s="268" customFormat="1" ht="27.6" customHeight="1" x14ac:dyDescent="0.25">
      <c r="A12" s="264" t="s">
        <v>274</v>
      </c>
      <c r="B12" s="265" t="s">
        <v>259</v>
      </c>
      <c r="C12" s="266">
        <v>821</v>
      </c>
      <c r="D12" s="266">
        <v>280</v>
      </c>
      <c r="E12" s="266">
        <v>161</v>
      </c>
      <c r="F12" s="266">
        <v>12</v>
      </c>
      <c r="G12" s="267">
        <v>70000000</v>
      </c>
    </row>
    <row r="13" spans="1:7" s="268" customFormat="1" ht="27.6" customHeight="1" x14ac:dyDescent="0.25">
      <c r="A13" s="264" t="s">
        <v>274</v>
      </c>
      <c r="B13" s="265" t="s">
        <v>160</v>
      </c>
      <c r="C13" s="266">
        <v>821</v>
      </c>
      <c r="D13" s="266">
        <v>280</v>
      </c>
      <c r="E13" s="266">
        <v>161</v>
      </c>
      <c r="F13" s="266">
        <v>18</v>
      </c>
      <c r="G13" s="267">
        <v>101000000</v>
      </c>
    </row>
    <row r="14" spans="1:7" s="61" customFormat="1" x14ac:dyDescent="0.25">
      <c r="A14" s="117" t="s">
        <v>16</v>
      </c>
      <c r="B14" s="109" t="s">
        <v>141</v>
      </c>
      <c r="C14" s="109"/>
      <c r="D14" s="109"/>
      <c r="E14" s="109"/>
      <c r="F14" s="109"/>
      <c r="G14" s="110">
        <f>+G15</f>
        <v>110000000</v>
      </c>
    </row>
    <row r="15" spans="1:7" x14ac:dyDescent="0.25">
      <c r="A15" s="99"/>
      <c r="B15" s="112" t="s">
        <v>142</v>
      </c>
      <c r="C15" s="99">
        <v>821</v>
      </c>
      <c r="D15" s="99">
        <v>220</v>
      </c>
      <c r="E15" s="112">
        <v>221</v>
      </c>
      <c r="F15" s="99">
        <v>12</v>
      </c>
      <c r="G15" s="105">
        <v>110000000</v>
      </c>
    </row>
    <row r="16" spans="1:7" x14ac:dyDescent="0.25">
      <c r="A16" s="117" t="s">
        <v>26</v>
      </c>
      <c r="B16" s="109" t="s">
        <v>133</v>
      </c>
      <c r="C16" s="112"/>
      <c r="D16" s="112"/>
      <c r="E16" s="112"/>
      <c r="F16" s="112"/>
      <c r="G16" s="110">
        <f>+G17+G23</f>
        <v>686000000</v>
      </c>
    </row>
    <row r="17" spans="1:7" s="64" customFormat="1" ht="78.75" x14ac:dyDescent="0.25">
      <c r="A17" s="117" t="s">
        <v>7</v>
      </c>
      <c r="B17" s="258" t="s">
        <v>134</v>
      </c>
      <c r="C17" s="257"/>
      <c r="D17" s="257"/>
      <c r="E17" s="257"/>
      <c r="F17" s="257"/>
      <c r="G17" s="269">
        <f>+G18+G20</f>
        <v>293000000</v>
      </c>
    </row>
    <row r="18" spans="1:7" s="64" customFormat="1" ht="63" x14ac:dyDescent="0.25">
      <c r="A18" s="117">
        <v>1</v>
      </c>
      <c r="B18" s="204" t="s">
        <v>174</v>
      </c>
      <c r="C18" s="257"/>
      <c r="D18" s="257"/>
      <c r="E18" s="257"/>
      <c r="F18" s="257"/>
      <c r="G18" s="269">
        <f>+G19</f>
        <v>243000000</v>
      </c>
    </row>
    <row r="19" spans="1:7" s="64" customFormat="1" x14ac:dyDescent="0.25">
      <c r="A19" s="99" t="s">
        <v>68</v>
      </c>
      <c r="B19" s="261" t="s">
        <v>175</v>
      </c>
      <c r="C19" s="104">
        <v>821</v>
      </c>
      <c r="D19" s="102">
        <v>160</v>
      </c>
      <c r="E19" s="102">
        <v>161</v>
      </c>
      <c r="F19" s="99">
        <v>12</v>
      </c>
      <c r="G19" s="156">
        <v>243000000</v>
      </c>
    </row>
    <row r="20" spans="1:7" s="64" customFormat="1" ht="78.75" x14ac:dyDescent="0.25">
      <c r="A20" s="117">
        <v>2</v>
      </c>
      <c r="B20" s="204" t="s">
        <v>177</v>
      </c>
      <c r="C20" s="257"/>
      <c r="D20" s="257"/>
      <c r="E20" s="257"/>
      <c r="F20" s="257"/>
      <c r="G20" s="269">
        <f>+G21</f>
        <v>50000000</v>
      </c>
    </row>
    <row r="21" spans="1:7" s="64" customFormat="1" ht="157.5" x14ac:dyDescent="0.25">
      <c r="A21" s="99" t="s">
        <v>169</v>
      </c>
      <c r="B21" s="205" t="s">
        <v>206</v>
      </c>
      <c r="C21" s="257"/>
      <c r="D21" s="257"/>
      <c r="E21" s="257"/>
      <c r="F21" s="257"/>
      <c r="G21" s="270">
        <f>+G22</f>
        <v>50000000</v>
      </c>
    </row>
    <row r="22" spans="1:7" s="64" customFormat="1" x14ac:dyDescent="0.25">
      <c r="A22" s="99" t="s">
        <v>68</v>
      </c>
      <c r="B22" s="261" t="s">
        <v>178</v>
      </c>
      <c r="C22" s="103">
        <v>821</v>
      </c>
      <c r="D22" s="99">
        <v>160</v>
      </c>
      <c r="E22" s="99">
        <v>161</v>
      </c>
      <c r="F22" s="99">
        <v>12</v>
      </c>
      <c r="G22" s="270">
        <v>50000000</v>
      </c>
    </row>
    <row r="23" spans="1:7" s="64" customFormat="1" ht="47.25" x14ac:dyDescent="0.25">
      <c r="A23" s="117" t="s">
        <v>4</v>
      </c>
      <c r="B23" s="204" t="s">
        <v>180</v>
      </c>
      <c r="C23" s="99"/>
      <c r="D23" s="99"/>
      <c r="E23" s="99"/>
      <c r="F23" s="99"/>
      <c r="G23" s="269">
        <f>+G24</f>
        <v>393000000</v>
      </c>
    </row>
    <row r="24" spans="1:7" s="64" customFormat="1" ht="31.5" x14ac:dyDescent="0.25">
      <c r="A24" s="117">
        <v>1</v>
      </c>
      <c r="B24" s="204" t="s">
        <v>190</v>
      </c>
      <c r="C24" s="99"/>
      <c r="D24" s="99"/>
      <c r="E24" s="99"/>
      <c r="F24" s="99"/>
      <c r="G24" s="269">
        <f>+G25+G27</f>
        <v>393000000</v>
      </c>
    </row>
    <row r="25" spans="1:7" s="64" customFormat="1" x14ac:dyDescent="0.25">
      <c r="A25" s="99" t="s">
        <v>137</v>
      </c>
      <c r="B25" s="205" t="s">
        <v>207</v>
      </c>
      <c r="C25" s="99"/>
      <c r="D25" s="99"/>
      <c r="E25" s="99"/>
      <c r="F25" s="99"/>
      <c r="G25" s="270">
        <f>+G26</f>
        <v>276000000</v>
      </c>
    </row>
    <row r="26" spans="1:7" s="256" customFormat="1" x14ac:dyDescent="0.25">
      <c r="A26" s="103"/>
      <c r="B26" s="259" t="s">
        <v>191</v>
      </c>
      <c r="C26" s="103">
        <v>821</v>
      </c>
      <c r="D26" s="99">
        <v>160</v>
      </c>
      <c r="E26" s="99">
        <v>161</v>
      </c>
      <c r="F26" s="103">
        <v>12</v>
      </c>
      <c r="G26" s="149">
        <v>276000000</v>
      </c>
    </row>
    <row r="27" spans="1:7" s="64" customFormat="1" ht="31.5" x14ac:dyDescent="0.25">
      <c r="A27" s="99" t="s">
        <v>197</v>
      </c>
      <c r="B27" s="205" t="s">
        <v>208</v>
      </c>
      <c r="C27" s="99"/>
      <c r="D27" s="99"/>
      <c r="E27" s="99"/>
      <c r="F27" s="99"/>
      <c r="G27" s="270">
        <f>+G28</f>
        <v>117000000</v>
      </c>
    </row>
    <row r="28" spans="1:7" s="256" customFormat="1" x14ac:dyDescent="0.25">
      <c r="A28" s="103"/>
      <c r="B28" s="259" t="s">
        <v>191</v>
      </c>
      <c r="C28" s="103">
        <v>821</v>
      </c>
      <c r="D28" s="99">
        <v>160</v>
      </c>
      <c r="E28" s="99">
        <v>161</v>
      </c>
      <c r="F28" s="103">
        <v>12</v>
      </c>
      <c r="G28" s="155">
        <v>117000000</v>
      </c>
    </row>
    <row r="30" spans="1:7" s="247" customFormat="1" ht="12.75" x14ac:dyDescent="0.2">
      <c r="A30" s="311" t="s">
        <v>225</v>
      </c>
      <c r="B30" s="311"/>
    </row>
    <row r="31" spans="1:7" s="247" customFormat="1" ht="12.75" x14ac:dyDescent="0.2">
      <c r="A31" s="305" t="s">
        <v>226</v>
      </c>
      <c r="B31" s="305"/>
      <c r="C31" s="305"/>
      <c r="D31" s="305"/>
      <c r="E31" s="305"/>
      <c r="F31" s="305"/>
      <c r="G31" s="305"/>
    </row>
    <row r="32" spans="1:7" s="247" customFormat="1" ht="12.75" x14ac:dyDescent="0.2">
      <c r="A32" s="305" t="s">
        <v>268</v>
      </c>
      <c r="B32" s="305"/>
      <c r="C32" s="305"/>
      <c r="D32" s="305"/>
      <c r="E32" s="305"/>
      <c r="F32" s="305"/>
      <c r="G32" s="305"/>
    </row>
    <row r="33" spans="1:7" s="247" customFormat="1" ht="12.75" x14ac:dyDescent="0.2">
      <c r="A33" s="306" t="s">
        <v>260</v>
      </c>
      <c r="B33" s="306"/>
      <c r="C33" s="306"/>
      <c r="D33" s="306"/>
      <c r="E33" s="306"/>
      <c r="F33" s="306"/>
      <c r="G33" s="306"/>
    </row>
  </sheetData>
  <mergeCells count="7">
    <mergeCell ref="A33:G33"/>
    <mergeCell ref="A32:G32"/>
    <mergeCell ref="A1:G1"/>
    <mergeCell ref="A2:G2"/>
    <mergeCell ref="F3:G3"/>
    <mergeCell ref="A30:B30"/>
    <mergeCell ref="A31:G31"/>
  </mergeCells>
  <pageMargins left="0.5" right="0.46"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G15"/>
  <sheetViews>
    <sheetView workbookViewId="0">
      <selection activeCell="G10" sqref="G10"/>
    </sheetView>
  </sheetViews>
  <sheetFormatPr defaultRowHeight="18.75" x14ac:dyDescent="0.3"/>
  <cols>
    <col min="1" max="1" width="5.42578125" style="56" customWidth="1"/>
    <col min="2" max="2" width="36.140625" style="56" customWidth="1"/>
    <col min="3" max="3" width="11.42578125" style="56" customWidth="1"/>
    <col min="4" max="4" width="8" style="56" customWidth="1"/>
    <col min="5" max="5" width="9.28515625" style="56" bestFit="1" customWidth="1"/>
    <col min="6" max="6" width="8.28515625" style="56" customWidth="1"/>
    <col min="7" max="7" width="16.28515625" style="56" customWidth="1"/>
    <col min="8" max="16384" width="9.140625" style="56"/>
  </cols>
  <sheetData>
    <row r="1" spans="1:7" s="55" customFormat="1" ht="42" customHeight="1" x14ac:dyDescent="0.25">
      <c r="A1" s="301" t="str">
        <f>+'TT DVTH'!A1:G1</f>
        <v>BIỂU GIAO DỰ TOÁN KINH PHÍ NĂM 2025
 (THỜI GIAN THỰC HIỆN TỪ 01/7/2025 ĐẾN 31/12/2025)</v>
      </c>
      <c r="B1" s="302"/>
      <c r="C1" s="302"/>
      <c r="D1" s="302"/>
      <c r="E1" s="302"/>
      <c r="F1" s="302"/>
      <c r="G1" s="302"/>
    </row>
    <row r="2" spans="1:7" s="64" customFormat="1" ht="24" customHeight="1" x14ac:dyDescent="0.25">
      <c r="A2" s="299" t="str">
        <f>+'TT DVTH'!A2:G2</f>
        <v>(Kèm theo Quyết định số 815/QĐ-UBND ngày 05  tháng 11 năm 2025 của UBND xã)</v>
      </c>
      <c r="B2" s="299"/>
      <c r="C2" s="299"/>
      <c r="D2" s="299"/>
      <c r="E2" s="299"/>
      <c r="F2" s="299"/>
      <c r="G2" s="299"/>
    </row>
    <row r="3" spans="1:7" s="65" customFormat="1" ht="24" customHeight="1" x14ac:dyDescent="0.25">
      <c r="A3" s="65" t="s">
        <v>269</v>
      </c>
      <c r="F3" s="300" t="s">
        <v>93</v>
      </c>
      <c r="G3" s="300"/>
    </row>
    <row r="4" spans="1:7" s="58" customFormat="1" ht="49.5" customHeight="1" x14ac:dyDescent="0.25">
      <c r="A4" s="116" t="s">
        <v>2</v>
      </c>
      <c r="B4" s="116" t="s">
        <v>3</v>
      </c>
      <c r="C4" s="116" t="s">
        <v>87</v>
      </c>
      <c r="D4" s="116" t="s">
        <v>88</v>
      </c>
      <c r="E4" s="116" t="s">
        <v>89</v>
      </c>
      <c r="F4" s="116" t="s">
        <v>90</v>
      </c>
      <c r="G4" s="116" t="s">
        <v>91</v>
      </c>
    </row>
    <row r="5" spans="1:7" s="58" customFormat="1" ht="21" customHeight="1" x14ac:dyDescent="0.25">
      <c r="A5" s="117"/>
      <c r="B5" s="97" t="s">
        <v>94</v>
      </c>
      <c r="C5" s="117"/>
      <c r="D5" s="117"/>
      <c r="E5" s="117"/>
      <c r="F5" s="117"/>
      <c r="G5" s="98">
        <f>+G6</f>
        <v>339000000</v>
      </c>
    </row>
    <row r="6" spans="1:7" s="61" customFormat="1" ht="21" customHeight="1" x14ac:dyDescent="0.25">
      <c r="A6" s="117" t="s">
        <v>7</v>
      </c>
      <c r="B6" s="97" t="s">
        <v>270</v>
      </c>
      <c r="C6" s="117"/>
      <c r="D6" s="117"/>
      <c r="E6" s="117"/>
      <c r="F6" s="117"/>
      <c r="G6" s="98">
        <f>+G7+G8</f>
        <v>339000000</v>
      </c>
    </row>
    <row r="7" spans="1:7" s="58" customFormat="1" ht="30" customHeight="1" x14ac:dyDescent="0.25">
      <c r="A7" s="99">
        <v>1</v>
      </c>
      <c r="B7" s="207" t="s">
        <v>92</v>
      </c>
      <c r="C7" s="99">
        <v>822</v>
      </c>
      <c r="D7" s="277">
        <v>70</v>
      </c>
      <c r="E7" s="277">
        <v>83</v>
      </c>
      <c r="F7" s="99">
        <v>13</v>
      </c>
      <c r="G7" s="101">
        <v>248500000</v>
      </c>
    </row>
    <row r="8" spans="1:7" s="58" customFormat="1" ht="18" customHeight="1" x14ac:dyDescent="0.25">
      <c r="A8" s="99">
        <v>2</v>
      </c>
      <c r="B8" s="100" t="s">
        <v>143</v>
      </c>
      <c r="C8" s="99"/>
      <c r="D8" s="275"/>
      <c r="E8" s="275"/>
      <c r="F8" s="99"/>
      <c r="G8" s="101">
        <f>SUM(G9:G11)</f>
        <v>90500000</v>
      </c>
    </row>
    <row r="9" spans="1:7" s="268" customFormat="1" ht="15.75" x14ac:dyDescent="0.25">
      <c r="A9" s="264" t="s">
        <v>274</v>
      </c>
      <c r="B9" s="273" t="s">
        <v>271</v>
      </c>
      <c r="C9" s="266">
        <v>822</v>
      </c>
      <c r="D9" s="276">
        <v>70</v>
      </c>
      <c r="E9" s="276">
        <v>83</v>
      </c>
      <c r="F9" s="266">
        <v>12</v>
      </c>
      <c r="G9" s="267">
        <v>46700000</v>
      </c>
    </row>
    <row r="10" spans="1:7" s="268" customFormat="1" ht="47.25" x14ac:dyDescent="0.25">
      <c r="A10" s="264" t="s">
        <v>274</v>
      </c>
      <c r="B10" s="274" t="s">
        <v>272</v>
      </c>
      <c r="C10" s="266">
        <v>822</v>
      </c>
      <c r="D10" s="276">
        <v>70</v>
      </c>
      <c r="E10" s="276">
        <v>83</v>
      </c>
      <c r="F10" s="266">
        <v>12</v>
      </c>
      <c r="G10" s="267">
        <v>19200000</v>
      </c>
    </row>
    <row r="11" spans="1:7" s="268" customFormat="1" ht="31.5" x14ac:dyDescent="0.25">
      <c r="A11" s="264" t="s">
        <v>274</v>
      </c>
      <c r="B11" s="274" t="s">
        <v>273</v>
      </c>
      <c r="C11" s="266">
        <v>822</v>
      </c>
      <c r="D11" s="276">
        <v>70</v>
      </c>
      <c r="E11" s="276">
        <v>83</v>
      </c>
      <c r="F11" s="266">
        <v>18</v>
      </c>
      <c r="G11" s="267">
        <v>24600000</v>
      </c>
    </row>
    <row r="13" spans="1:7" s="247" customFormat="1" ht="12.75" x14ac:dyDescent="0.2">
      <c r="A13" s="311" t="s">
        <v>225</v>
      </c>
      <c r="B13" s="311"/>
    </row>
    <row r="14" spans="1:7" s="247" customFormat="1" ht="12.75" x14ac:dyDescent="0.2">
      <c r="A14" s="305" t="s">
        <v>226</v>
      </c>
      <c r="B14" s="305"/>
      <c r="C14" s="305"/>
      <c r="D14" s="305"/>
      <c r="E14" s="305"/>
      <c r="F14" s="305"/>
      <c r="G14" s="305"/>
    </row>
    <row r="15" spans="1:7" s="247" customFormat="1" ht="12.75" x14ac:dyDescent="0.2">
      <c r="A15" s="306" t="s">
        <v>297</v>
      </c>
      <c r="B15" s="306"/>
      <c r="C15" s="306"/>
      <c r="D15" s="306"/>
      <c r="E15" s="306"/>
      <c r="F15" s="306"/>
      <c r="G15" s="306"/>
    </row>
  </sheetData>
  <mergeCells count="6">
    <mergeCell ref="A15:G15"/>
    <mergeCell ref="A1:G1"/>
    <mergeCell ref="A2:G2"/>
    <mergeCell ref="F3:G3"/>
    <mergeCell ref="A13:B13"/>
    <mergeCell ref="A14:G14"/>
  </mergeCells>
  <pageMargins left="0.48" right="0.42" top="0.75" bottom="0.75" header="0.3" footer="0.3"/>
  <pageSetup paperSize="9" scale="95"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22</vt:i4>
      </vt:variant>
    </vt:vector>
  </HeadingPairs>
  <TitlesOfParts>
    <vt:vector size="47" baseType="lpstr">
      <vt:lpstr>Chi cục thuế</vt:lpstr>
      <vt:lpstr>Văn phòng Đảng ủy</vt:lpstr>
      <vt:lpstr>Văn phòng HĐND-UBND</vt:lpstr>
      <vt:lpstr>P.Kinh tế</vt:lpstr>
      <vt:lpstr>P. VH-XH</vt:lpstr>
      <vt:lpstr>TT DVHCC</vt:lpstr>
      <vt:lpstr>UBMTTQ</vt:lpstr>
      <vt:lpstr>TT DVTH</vt:lpstr>
      <vt:lpstr>TTCT</vt:lpstr>
      <vt:lpstr>MN MTH</vt:lpstr>
      <vt:lpstr>MN S1NS</vt:lpstr>
      <vt:lpstr>MN S2NS </vt:lpstr>
      <vt:lpstr>MN SL</vt:lpstr>
      <vt:lpstr>MN SM</vt:lpstr>
      <vt:lpstr>TH MTH</vt:lpstr>
      <vt:lpstr>TH S1NS</vt:lpstr>
      <vt:lpstr>TH S2NS</vt:lpstr>
      <vt:lpstr>TH SL</vt:lpstr>
      <vt:lpstr>TH NS</vt:lpstr>
      <vt:lpstr>THCS MTH</vt:lpstr>
      <vt:lpstr>THCS NS</vt:lpstr>
      <vt:lpstr>THCS SL</vt:lpstr>
      <vt:lpstr>THCS S1NS</vt:lpstr>
      <vt:lpstr>Biểu trình</vt:lpstr>
      <vt:lpstr>biểu chi tiết</vt:lpstr>
      <vt:lpstr>'MN MTH'!Print_Area</vt:lpstr>
      <vt:lpstr>'MN S1NS'!Print_Area</vt:lpstr>
      <vt:lpstr>'MN S2NS '!Print_Area</vt:lpstr>
      <vt:lpstr>'MN SL'!Print_Area</vt:lpstr>
      <vt:lpstr>'MN SM'!Print_Area</vt:lpstr>
      <vt:lpstr>'P. VH-XH'!Print_Area</vt:lpstr>
      <vt:lpstr>'P.Kinh tế'!Print_Area</vt:lpstr>
      <vt:lpstr>'TT DVHCC'!Print_Area</vt:lpstr>
      <vt:lpstr>'TT DVTH'!Print_Area</vt:lpstr>
      <vt:lpstr>TTCT!Print_Area</vt:lpstr>
      <vt:lpstr>'TH MTH'!Print_Area</vt:lpstr>
      <vt:lpstr>'TH NS'!Print_Area</vt:lpstr>
      <vt:lpstr>'TH S1NS'!Print_Area</vt:lpstr>
      <vt:lpstr>'TH S2NS'!Print_Area</vt:lpstr>
      <vt:lpstr>'TH SL'!Print_Area</vt:lpstr>
      <vt:lpstr>'THCS MTH'!Print_Area</vt:lpstr>
      <vt:lpstr>'THCS NS'!Print_Area</vt:lpstr>
      <vt:lpstr>'THCS S1NS'!Print_Area</vt:lpstr>
      <vt:lpstr>'THCS SL'!Print_Area</vt:lpstr>
      <vt:lpstr>UBMTTQ!Print_Area</vt:lpstr>
      <vt:lpstr>'Văn phòng Đảng ủy'!Print_Area</vt:lpstr>
      <vt:lpstr>'Văn phòng HĐND-UBND'!Print_Area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2025-11-06T03:39:11Z</cp:lastPrinted>
  <dcterms:created xsi:type="dcterms:W3CDTF">2025-05-19T10:46:04Z</dcterms:created>
  <dcterms:modified xsi:type="dcterms:W3CDTF">2025-11-06T03:39:17Z</dcterms:modified>
</cp:coreProperties>
</file>